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496" windowHeight="9132"/>
  </bookViews>
  <sheets>
    <sheet name="2014-2016" sheetId="7" r:id="rId1"/>
  </sheets>
  <externalReferences>
    <externalReference r:id="rId2"/>
    <externalReference r:id="rId3"/>
    <externalReference r:id="rId4"/>
  </externalReferences>
  <definedNames>
    <definedName name="_xlnm.Print_Titles" localSheetId="0">'2014-2016'!$10:$14</definedName>
    <definedName name="_xlnm.Print_Area" localSheetId="0">'2014-2016'!$A$1:$Y$552</definedName>
    <definedName name="стены">[1]Справочники!$A$201:$A$223</definedName>
  </definedNames>
  <calcPr calcId="145621"/>
</workbook>
</file>

<file path=xl/calcChain.xml><?xml version="1.0" encoding="utf-8"?>
<calcChain xmlns="http://schemas.openxmlformats.org/spreadsheetml/2006/main">
  <c r="E539" i="7" l="1"/>
  <c r="AB460" i="7" l="1"/>
  <c r="E505" i="7"/>
  <c r="E403" i="7"/>
  <c r="E349" i="7"/>
  <c r="E284" i="7"/>
  <c r="E85" i="7"/>
  <c r="E46" i="7"/>
  <c r="E36" i="7"/>
  <c r="G208" i="7" l="1"/>
  <c r="AA519" i="7" l="1"/>
  <c r="AA520" i="7" s="1"/>
  <c r="AA498" i="7"/>
  <c r="AA499" i="7" s="1"/>
  <c r="AA500" i="7" s="1"/>
  <c r="AA501" i="7" s="1"/>
  <c r="AA502" i="7" s="1"/>
  <c r="AA479" i="7"/>
  <c r="AA480" i="7" s="1"/>
  <c r="AA481" i="7" s="1"/>
  <c r="AA452" i="7"/>
  <c r="AA453" i="7" s="1"/>
  <c r="AA440" i="7" l="1"/>
  <c r="AA441" i="7" s="1"/>
  <c r="AA442" i="7" s="1"/>
  <c r="AA443" i="7" s="1"/>
  <c r="AA421" i="7"/>
  <c r="AA422" i="7" s="1"/>
  <c r="AA423" i="7" s="1"/>
  <c r="AA424" i="7" s="1"/>
  <c r="AA425" i="7" s="1"/>
  <c r="AA426" i="7" s="1"/>
  <c r="AA427" i="7" s="1"/>
  <c r="AA428" i="7" s="1"/>
  <c r="AA429" i="7" s="1"/>
  <c r="AA430" i="7" s="1"/>
  <c r="AA382" i="7"/>
  <c r="AA383" i="7" s="1"/>
  <c r="AA384" i="7" s="1"/>
  <c r="AA385" i="7" s="1"/>
  <c r="AA386" i="7" s="1"/>
  <c r="AA387" i="7" s="1"/>
  <c r="AA388" i="7" s="1"/>
  <c r="AA389" i="7" s="1"/>
  <c r="AA390" i="7" s="1"/>
  <c r="AA391" i="7" s="1"/>
  <c r="AA392" i="7" s="1"/>
  <c r="AA393" i="7" s="1"/>
  <c r="AA394" i="7" s="1"/>
  <c r="AA395" i="7" s="1"/>
  <c r="AA396" i="7" s="1"/>
  <c r="AA397" i="7" s="1"/>
  <c r="AA398" i="7" s="1"/>
  <c r="AA399" i="7" s="1"/>
  <c r="AA400" i="7" s="1"/>
  <c r="AA337" i="7"/>
  <c r="AA338" i="7" s="1"/>
  <c r="AA339" i="7" s="1"/>
  <c r="AA340" i="7" s="1"/>
  <c r="AA341" i="7" s="1"/>
  <c r="AA342" i="7" s="1"/>
  <c r="AA343" i="7" s="1"/>
  <c r="AA344" i="7" s="1"/>
  <c r="AA345" i="7" s="1"/>
  <c r="AA346" i="7" s="1"/>
  <c r="AA255" i="7"/>
  <c r="AA256" i="7" s="1"/>
  <c r="AA257" i="7" s="1"/>
  <c r="AA258" i="7" s="1"/>
  <c r="AA259" i="7" s="1"/>
  <c r="AA260" i="7" s="1"/>
  <c r="AA261" i="7" s="1"/>
  <c r="AA262" i="7" s="1"/>
  <c r="AA263" i="7" s="1"/>
  <c r="AA264" i="7" s="1"/>
  <c r="AA265" i="7" s="1"/>
  <c r="AA266" i="7" s="1"/>
  <c r="AA267" i="7" s="1"/>
  <c r="AA268" i="7" s="1"/>
  <c r="AA269" i="7" s="1"/>
  <c r="AA270" i="7" s="1"/>
  <c r="AA271" i="7" s="1"/>
  <c r="AA272" i="7" s="1"/>
  <c r="AA273" i="7" s="1"/>
  <c r="AA274" i="7" s="1"/>
  <c r="AA275" i="7" s="1"/>
  <c r="AA276" i="7" s="1"/>
  <c r="AA277" i="7" s="1"/>
  <c r="AA278" i="7" s="1"/>
  <c r="AA279" i="7" s="1"/>
  <c r="AA280" i="7" s="1"/>
  <c r="AA281" i="7" s="1"/>
  <c r="AA216" i="7"/>
  <c r="AA217" i="7" s="1"/>
  <c r="AA218" i="7" s="1"/>
  <c r="AA219" i="7" s="1"/>
  <c r="AA220" i="7" s="1"/>
  <c r="AA221" i="7" s="1"/>
  <c r="AA222" i="7" s="1"/>
  <c r="AA223" i="7" s="1"/>
  <c r="AA224" i="7" s="1"/>
  <c r="AA225" i="7" s="1"/>
  <c r="AA226" i="7" s="1"/>
  <c r="AA227" i="7" s="1"/>
  <c r="AA209" i="7"/>
  <c r="AA210" i="7" s="1"/>
  <c r="AA156" i="7"/>
  <c r="AA157" i="7" s="1"/>
  <c r="AA158" i="7" s="1"/>
  <c r="AA159" i="7" s="1"/>
  <c r="AA160" i="7" s="1"/>
  <c r="AA161" i="7" s="1"/>
  <c r="AA162" i="7" s="1"/>
  <c r="AA163" i="7" s="1"/>
  <c r="AA164" i="7" s="1"/>
  <c r="AA165" i="7" s="1"/>
  <c r="AA166" i="7" s="1"/>
  <c r="AA167" i="7" s="1"/>
  <c r="AA168" i="7" s="1"/>
  <c r="AA169" i="7" s="1"/>
  <c r="AA170" i="7" s="1"/>
  <c r="AA171" i="7" s="1"/>
  <c r="AA172" i="7" s="1"/>
  <c r="AA173" i="7" s="1"/>
  <c r="AA174" i="7" s="1"/>
  <c r="AA175" i="7" s="1"/>
  <c r="AA176" i="7" s="1"/>
  <c r="AA177" i="7" s="1"/>
  <c r="AA178" i="7" s="1"/>
  <c r="AA179" i="7" s="1"/>
  <c r="AA180" i="7" s="1"/>
  <c r="AA181" i="7" s="1"/>
  <c r="AA182" i="7" s="1"/>
  <c r="AA183" i="7" s="1"/>
  <c r="AA184" i="7" s="1"/>
  <c r="AA185" i="7" s="1"/>
  <c r="AA186" i="7" s="1"/>
  <c r="AA187" i="7" s="1"/>
  <c r="AA188" i="7" s="1"/>
  <c r="AA189" i="7" s="1"/>
  <c r="AA190" i="7" s="1"/>
  <c r="AA191" i="7" s="1"/>
  <c r="AA192" i="7" s="1"/>
  <c r="AA193" i="7" s="1"/>
  <c r="AA194" i="7" s="1"/>
  <c r="AA195" i="7" s="1"/>
  <c r="AA196" i="7" s="1"/>
  <c r="AA197" i="7" s="1"/>
  <c r="AA198" i="7" s="1"/>
  <c r="AA199" i="7" s="1"/>
  <c r="AA200" i="7" s="1"/>
  <c r="AA76" i="7"/>
  <c r="AA77" i="7" s="1"/>
  <c r="AA78" i="7" s="1"/>
  <c r="AA79" i="7" s="1"/>
  <c r="AA80" i="7" s="1"/>
  <c r="AA81" i="7" s="1"/>
  <c r="AA82" i="7" s="1"/>
  <c r="AA56" i="7"/>
  <c r="AA57" i="7" s="1"/>
  <c r="AA58" i="7" s="1"/>
  <c r="AA59" i="7" s="1"/>
  <c r="AA60" i="7" s="1"/>
  <c r="AA61" i="7" s="1"/>
  <c r="AA62" i="7" s="1"/>
  <c r="AA63" i="7" s="1"/>
  <c r="AA64" i="7" s="1"/>
  <c r="AA41" i="7"/>
  <c r="AA42" i="7" s="1"/>
  <c r="AA43" i="7" s="1"/>
  <c r="J523" i="7" l="1"/>
  <c r="K523" i="7"/>
  <c r="L523" i="7"/>
  <c r="M523" i="7"/>
  <c r="N523" i="7"/>
  <c r="O523" i="7"/>
  <c r="Q523" i="7"/>
  <c r="R523" i="7"/>
  <c r="S523" i="7"/>
  <c r="T523" i="7"/>
  <c r="U523" i="7"/>
  <c r="V523" i="7"/>
  <c r="F523" i="7"/>
  <c r="E523" i="7"/>
  <c r="E526" i="7" s="1"/>
  <c r="H520" i="7"/>
  <c r="I520" i="7" s="1"/>
  <c r="P519" i="7"/>
  <c r="P523" i="7" s="1"/>
  <c r="H519" i="7"/>
  <c r="I519" i="7" s="1"/>
  <c r="H518" i="7"/>
  <c r="I518" i="7" s="1"/>
  <c r="P424" i="7"/>
  <c r="L424" i="7"/>
  <c r="H424" i="7"/>
  <c r="I424" i="7" s="1"/>
  <c r="P199" i="7"/>
  <c r="K199" i="7"/>
  <c r="L199" i="7" s="1"/>
  <c r="L196" i="7"/>
  <c r="I196" i="7"/>
  <c r="G196" i="7"/>
  <c r="W196" i="7" s="1"/>
  <c r="L178" i="7"/>
  <c r="I178" i="7"/>
  <c r="G178" i="7"/>
  <c r="W178" i="7" s="1"/>
  <c r="L173" i="7"/>
  <c r="H173" i="7"/>
  <c r="I173" i="7" s="1"/>
  <c r="K168" i="7"/>
  <c r="L168" i="7" s="1"/>
  <c r="E168" i="7"/>
  <c r="L161" i="7"/>
  <c r="G161" i="7"/>
  <c r="W161" i="7" s="1"/>
  <c r="W544" i="7"/>
  <c r="V544" i="7"/>
  <c r="U544" i="7"/>
  <c r="T544" i="7"/>
  <c r="S544" i="7"/>
  <c r="Q544" i="7"/>
  <c r="O544" i="7"/>
  <c r="M544" i="7"/>
  <c r="K544" i="7"/>
  <c r="J544" i="7"/>
  <c r="H544" i="7"/>
  <c r="G544" i="7"/>
  <c r="F544" i="7"/>
  <c r="E544" i="7"/>
  <c r="AB541" i="7"/>
  <c r="I523" i="7" l="1"/>
  <c r="G168" i="7"/>
  <c r="W168" i="7" s="1"/>
  <c r="G518" i="7"/>
  <c r="W518" i="7" s="1"/>
  <c r="H523" i="7"/>
  <c r="G520" i="7"/>
  <c r="W520" i="7" s="1"/>
  <c r="G519" i="7"/>
  <c r="W519" i="7" s="1"/>
  <c r="G424" i="7"/>
  <c r="G199" i="7"/>
  <c r="W199" i="7" s="1"/>
  <c r="G173" i="7"/>
  <c r="W173" i="7" s="1"/>
  <c r="AB544" i="7"/>
  <c r="L33" i="7"/>
  <c r="I33" i="7"/>
  <c r="G33" i="7"/>
  <c r="W33" i="7" s="1"/>
  <c r="L32" i="7"/>
  <c r="I32" i="7"/>
  <c r="G32" i="7"/>
  <c r="W32" i="7" s="1"/>
  <c r="L31" i="7"/>
  <c r="I31" i="7"/>
  <c r="G31" i="7"/>
  <c r="W31" i="7" s="1"/>
  <c r="K30" i="7"/>
  <c r="L30" i="7" s="1"/>
  <c r="I30" i="7"/>
  <c r="K29" i="7"/>
  <c r="L29" i="7" s="1"/>
  <c r="I29" i="7"/>
  <c r="L28" i="7"/>
  <c r="I28" i="7"/>
  <c r="G28" i="7"/>
  <c r="W28" i="7" s="1"/>
  <c r="I27" i="7"/>
  <c r="G27" i="7"/>
  <c r="W27" i="7" s="1"/>
  <c r="L26" i="7"/>
  <c r="I26" i="7"/>
  <c r="G26" i="7"/>
  <c r="W26" i="7" s="1"/>
  <c r="L25" i="7"/>
  <c r="I25" i="7"/>
  <c r="G25" i="7"/>
  <c r="W25" i="7" s="1"/>
  <c r="R24" i="7"/>
  <c r="L24" i="7"/>
  <c r="I24" i="7"/>
  <c r="G24" i="7"/>
  <c r="W24" i="7" s="1"/>
  <c r="Z23" i="7"/>
  <c r="L23" i="7"/>
  <c r="I23" i="7"/>
  <c r="G23" i="7"/>
  <c r="W23" i="7" s="1"/>
  <c r="I22" i="7"/>
  <c r="G22" i="7"/>
  <c r="W22" i="7" s="1"/>
  <c r="G21" i="7"/>
  <c r="W21" i="7" s="1"/>
  <c r="G20" i="7"/>
  <c r="W20" i="7" s="1"/>
  <c r="A20" i="7"/>
  <c r="A21" i="7" s="1"/>
  <c r="A22" i="7" s="1"/>
  <c r="A23" i="7" s="1"/>
  <c r="A24" i="7" s="1"/>
  <c r="A25" i="7" s="1"/>
  <c r="A26" i="7" s="1"/>
  <c r="A27" i="7" s="1"/>
  <c r="G19" i="7"/>
  <c r="W19" i="7" s="1"/>
  <c r="W555" i="7"/>
  <c r="V555" i="7"/>
  <c r="U555" i="7"/>
  <c r="T555" i="7"/>
  <c r="S555" i="7"/>
  <c r="R555" i="7"/>
  <c r="Q555" i="7"/>
  <c r="P555" i="7"/>
  <c r="O555" i="7"/>
  <c r="N555" i="7"/>
  <c r="M555" i="7"/>
  <c r="L555" i="7"/>
  <c r="K555" i="7"/>
  <c r="J555" i="7"/>
  <c r="I555" i="7"/>
  <c r="H555" i="7"/>
  <c r="G555" i="7"/>
  <c r="F555" i="7"/>
  <c r="E555" i="7"/>
  <c r="W540" i="7"/>
  <c r="W543" i="7" s="1"/>
  <c r="U540" i="7"/>
  <c r="U543" i="7" s="1"/>
  <c r="S540" i="7"/>
  <c r="S543" i="7" s="1"/>
  <c r="Q540" i="7"/>
  <c r="Q543" i="7" s="1"/>
  <c r="O540" i="7"/>
  <c r="O543" i="7" s="1"/>
  <c r="M540" i="7"/>
  <c r="M543" i="7" s="1"/>
  <c r="K540" i="7"/>
  <c r="K543" i="7" s="1"/>
  <c r="J540" i="7"/>
  <c r="J543" i="7" s="1"/>
  <c r="H540" i="7"/>
  <c r="H543" i="7" s="1"/>
  <c r="F540" i="7"/>
  <c r="F543" i="7" s="1"/>
  <c r="E540" i="7"/>
  <c r="E543" i="7" s="1"/>
  <c r="W539" i="7"/>
  <c r="W542" i="7" s="1"/>
  <c r="V539" i="7"/>
  <c r="V542" i="7" s="1"/>
  <c r="U539" i="7"/>
  <c r="U542" i="7" s="1"/>
  <c r="T539" i="7"/>
  <c r="T542" i="7" s="1"/>
  <c r="S539" i="7"/>
  <c r="S542" i="7" s="1"/>
  <c r="Q539" i="7"/>
  <c r="Q542" i="7" s="1"/>
  <c r="O539" i="7"/>
  <c r="O542" i="7" s="1"/>
  <c r="M539" i="7"/>
  <c r="M542" i="7" s="1"/>
  <c r="K539" i="7"/>
  <c r="K542" i="7" s="1"/>
  <c r="J539" i="7"/>
  <c r="J542" i="7" s="1"/>
  <c r="H539" i="7"/>
  <c r="H542" i="7" s="1"/>
  <c r="F539" i="7"/>
  <c r="F542" i="7" s="1"/>
  <c r="E542" i="7"/>
  <c r="T538" i="7"/>
  <c r="T540" i="7" s="1"/>
  <c r="T543" i="7" s="1"/>
  <c r="G538" i="7"/>
  <c r="G540" i="7" s="1"/>
  <c r="G543" i="7" s="1"/>
  <c r="G537" i="7"/>
  <c r="G536" i="7"/>
  <c r="G535" i="7"/>
  <c r="G534" i="7"/>
  <c r="G533" i="7"/>
  <c r="G532" i="7"/>
  <c r="G531" i="7"/>
  <c r="G530" i="7"/>
  <c r="G529" i="7"/>
  <c r="R525" i="7"/>
  <c r="P525" i="7"/>
  <c r="N525" i="7"/>
  <c r="L525" i="7"/>
  <c r="I525" i="7"/>
  <c r="W524" i="7"/>
  <c r="V524" i="7"/>
  <c r="U524" i="7"/>
  <c r="T524" i="7"/>
  <c r="S524" i="7"/>
  <c r="R524" i="7"/>
  <c r="Q524" i="7"/>
  <c r="P524" i="7"/>
  <c r="O524" i="7"/>
  <c r="N524" i="7"/>
  <c r="M524" i="7"/>
  <c r="L524" i="7"/>
  <c r="K524" i="7"/>
  <c r="J524" i="7"/>
  <c r="I524" i="7"/>
  <c r="H524" i="7"/>
  <c r="G524" i="7"/>
  <c r="F524" i="7"/>
  <c r="E524" i="7"/>
  <c r="V522" i="7"/>
  <c r="U522" i="7"/>
  <c r="T522" i="7"/>
  <c r="S522" i="7"/>
  <c r="Q522" i="7"/>
  <c r="O522" i="7"/>
  <c r="M522" i="7"/>
  <c r="K522" i="7"/>
  <c r="J522" i="7"/>
  <c r="H522" i="7"/>
  <c r="F522" i="7"/>
  <c r="G517" i="7"/>
  <c r="W517" i="7" s="1"/>
  <c r="G516" i="7"/>
  <c r="W516" i="7" s="1"/>
  <c r="G515" i="7"/>
  <c r="W515" i="7" s="1"/>
  <c r="G514" i="7"/>
  <c r="W514" i="7" s="1"/>
  <c r="G513" i="7"/>
  <c r="W513" i="7" s="1"/>
  <c r="G512" i="7"/>
  <c r="W512" i="7" s="1"/>
  <c r="G511" i="7"/>
  <c r="W511" i="7" s="1"/>
  <c r="G510" i="7"/>
  <c r="W510" i="7" s="1"/>
  <c r="E510" i="7"/>
  <c r="E522" i="7" s="1"/>
  <c r="G509" i="7"/>
  <c r="W509" i="7" s="1"/>
  <c r="G508" i="7"/>
  <c r="W508" i="7" s="1"/>
  <c r="G507" i="7"/>
  <c r="V505" i="7"/>
  <c r="V526" i="7" s="1"/>
  <c r="U505" i="7"/>
  <c r="U526" i="7" s="1"/>
  <c r="T505" i="7"/>
  <c r="T526" i="7" s="1"/>
  <c r="S505" i="7"/>
  <c r="S526" i="7" s="1"/>
  <c r="R505" i="7"/>
  <c r="R526" i="7" s="1"/>
  <c r="Q505" i="7"/>
  <c r="Q526" i="7" s="1"/>
  <c r="M505" i="7"/>
  <c r="M526" i="7" s="1"/>
  <c r="J505" i="7"/>
  <c r="J526" i="7" s="1"/>
  <c r="F505" i="7"/>
  <c r="F526" i="7" s="1"/>
  <c r="V504" i="7"/>
  <c r="U504" i="7"/>
  <c r="T504" i="7"/>
  <c r="S504" i="7"/>
  <c r="Q504" i="7"/>
  <c r="O504" i="7"/>
  <c r="M504" i="7"/>
  <c r="K504" i="7"/>
  <c r="J504" i="7"/>
  <c r="H504" i="7"/>
  <c r="F504" i="7"/>
  <c r="E504" i="7"/>
  <c r="G502" i="7"/>
  <c r="W502" i="7" s="1"/>
  <c r="I501" i="7"/>
  <c r="G501" i="7"/>
  <c r="W501" i="7" s="1"/>
  <c r="G500" i="7"/>
  <c r="W500" i="7" s="1"/>
  <c r="N499" i="7"/>
  <c r="N505" i="7" s="1"/>
  <c r="N526" i="7" s="1"/>
  <c r="I499" i="7"/>
  <c r="G499" i="7"/>
  <c r="W499" i="7" s="1"/>
  <c r="I498" i="7"/>
  <c r="G498" i="7"/>
  <c r="W498" i="7" s="1"/>
  <c r="O505" i="7"/>
  <c r="O526" i="7" s="1"/>
  <c r="K505" i="7"/>
  <c r="K526" i="7" s="1"/>
  <c r="G497" i="7"/>
  <c r="W497" i="7" s="1"/>
  <c r="G496" i="7"/>
  <c r="W496" i="7" s="1"/>
  <c r="G495" i="7"/>
  <c r="R491" i="7"/>
  <c r="P491" i="7"/>
  <c r="N491" i="7"/>
  <c r="L491" i="7"/>
  <c r="I491" i="7"/>
  <c r="W490" i="7"/>
  <c r="V490" i="7"/>
  <c r="U490" i="7"/>
  <c r="T490" i="7"/>
  <c r="S490" i="7"/>
  <c r="R490" i="7"/>
  <c r="Q490" i="7"/>
  <c r="P490" i="7"/>
  <c r="O490" i="7"/>
  <c r="N490" i="7"/>
  <c r="M490" i="7"/>
  <c r="L490" i="7"/>
  <c r="K490" i="7"/>
  <c r="J490" i="7"/>
  <c r="I490" i="7"/>
  <c r="H490" i="7"/>
  <c r="G490" i="7"/>
  <c r="F490" i="7"/>
  <c r="E490" i="7"/>
  <c r="V489" i="7"/>
  <c r="U489" i="7"/>
  <c r="T489" i="7"/>
  <c r="S489" i="7"/>
  <c r="N489" i="7"/>
  <c r="N492" i="7" s="1"/>
  <c r="M489" i="7"/>
  <c r="J489" i="7"/>
  <c r="F489" i="7"/>
  <c r="E489" i="7"/>
  <c r="P486" i="7"/>
  <c r="I486" i="7"/>
  <c r="G486" i="7"/>
  <c r="W486" i="7" s="1"/>
  <c r="Q489" i="7"/>
  <c r="P489" i="7"/>
  <c r="P492" i="7" s="1"/>
  <c r="K489" i="7"/>
  <c r="V484" i="7"/>
  <c r="U484" i="7"/>
  <c r="T484" i="7"/>
  <c r="S484" i="7"/>
  <c r="Q484" i="7"/>
  <c r="O484" i="7"/>
  <c r="M484" i="7"/>
  <c r="M492" i="7" s="1"/>
  <c r="K484" i="7"/>
  <c r="J484" i="7"/>
  <c r="H484" i="7"/>
  <c r="F484" i="7"/>
  <c r="F492" i="7" s="1"/>
  <c r="E484" i="7"/>
  <c r="E492" i="7" s="1"/>
  <c r="V483" i="7"/>
  <c r="V491" i="7" s="1"/>
  <c r="U483" i="7"/>
  <c r="U491" i="7" s="1"/>
  <c r="T483" i="7"/>
  <c r="T491" i="7" s="1"/>
  <c r="S483" i="7"/>
  <c r="S491" i="7" s="1"/>
  <c r="Q483" i="7"/>
  <c r="Q491" i="7" s="1"/>
  <c r="O483" i="7"/>
  <c r="O491" i="7" s="1"/>
  <c r="M483" i="7"/>
  <c r="M491" i="7" s="1"/>
  <c r="K483" i="7"/>
  <c r="K491" i="7" s="1"/>
  <c r="J483" i="7"/>
  <c r="J491" i="7" s="1"/>
  <c r="H483" i="7"/>
  <c r="H491" i="7" s="1"/>
  <c r="F483" i="7"/>
  <c r="F491" i="7" s="1"/>
  <c r="E483" i="7"/>
  <c r="E491" i="7" s="1"/>
  <c r="I481" i="7"/>
  <c r="G481" i="7"/>
  <c r="W481" i="7" s="1"/>
  <c r="I480" i="7"/>
  <c r="G480" i="7"/>
  <c r="W480" i="7" s="1"/>
  <c r="I479" i="7"/>
  <c r="G479" i="7"/>
  <c r="G478" i="7"/>
  <c r="W478" i="7" s="1"/>
  <c r="G477" i="7"/>
  <c r="W477" i="7" s="1"/>
  <c r="G476" i="7"/>
  <c r="R472" i="7"/>
  <c r="P472" i="7"/>
  <c r="N472" i="7"/>
  <c r="L472" i="7"/>
  <c r="I472" i="7"/>
  <c r="W471" i="7"/>
  <c r="V471" i="7"/>
  <c r="U471" i="7"/>
  <c r="T471" i="7"/>
  <c r="S471" i="7"/>
  <c r="R471" i="7"/>
  <c r="Q471" i="7"/>
  <c r="P471" i="7"/>
  <c r="O471" i="7"/>
  <c r="N471" i="7"/>
  <c r="M471" i="7"/>
  <c r="L471" i="7"/>
  <c r="K471" i="7"/>
  <c r="J471" i="7"/>
  <c r="I471" i="7"/>
  <c r="H471" i="7"/>
  <c r="G471" i="7"/>
  <c r="F471" i="7"/>
  <c r="E471" i="7"/>
  <c r="V470" i="7"/>
  <c r="U470" i="7"/>
  <c r="T470" i="7"/>
  <c r="S470" i="7"/>
  <c r="Q470" i="7"/>
  <c r="O470" i="7"/>
  <c r="K470" i="7"/>
  <c r="J470" i="7"/>
  <c r="F470" i="7"/>
  <c r="E470" i="7"/>
  <c r="M467" i="7"/>
  <c r="N467" i="7" s="1"/>
  <c r="H467" i="7"/>
  <c r="M466" i="7"/>
  <c r="N466" i="7" s="1"/>
  <c r="H466" i="7"/>
  <c r="V464" i="7"/>
  <c r="U464" i="7"/>
  <c r="T464" i="7"/>
  <c r="S464" i="7"/>
  <c r="R464" i="7"/>
  <c r="Q464" i="7"/>
  <c r="P464" i="7"/>
  <c r="O464" i="7"/>
  <c r="N464" i="7"/>
  <c r="M464" i="7"/>
  <c r="J464" i="7"/>
  <c r="I464" i="7"/>
  <c r="H464" i="7"/>
  <c r="F464" i="7"/>
  <c r="E464" i="7"/>
  <c r="W463" i="7"/>
  <c r="U463" i="7"/>
  <c r="S463" i="7"/>
  <c r="Q463" i="7"/>
  <c r="O463" i="7"/>
  <c r="M463" i="7"/>
  <c r="J463" i="7"/>
  <c r="H463" i="7"/>
  <c r="F463" i="7"/>
  <c r="E463" i="7"/>
  <c r="L461" i="7"/>
  <c r="G461" i="7"/>
  <c r="K460" i="7"/>
  <c r="G460" i="7" s="1"/>
  <c r="T459" i="7"/>
  <c r="G459" i="7"/>
  <c r="T458" i="7"/>
  <c r="K458" i="7"/>
  <c r="K463" i="7" s="1"/>
  <c r="V456" i="7"/>
  <c r="U456" i="7"/>
  <c r="T456" i="7"/>
  <c r="S456" i="7"/>
  <c r="Q456" i="7"/>
  <c r="M456" i="7"/>
  <c r="K456" i="7"/>
  <c r="J456" i="7"/>
  <c r="H456" i="7"/>
  <c r="F456" i="7"/>
  <c r="E456" i="7"/>
  <c r="W455" i="7"/>
  <c r="U455" i="7"/>
  <c r="T455" i="7"/>
  <c r="S455" i="7"/>
  <c r="Q455" i="7"/>
  <c r="O455" i="7"/>
  <c r="M455" i="7"/>
  <c r="K455" i="7"/>
  <c r="J455" i="7"/>
  <c r="H455" i="7"/>
  <c r="F455" i="7"/>
  <c r="E455" i="7"/>
  <c r="L453" i="7"/>
  <c r="G453" i="7"/>
  <c r="W453" i="7" s="1"/>
  <c r="L452" i="7"/>
  <c r="G452" i="7"/>
  <c r="W452" i="7" s="1"/>
  <c r="L451" i="7"/>
  <c r="G451" i="7"/>
  <c r="G450" i="7"/>
  <c r="V450" i="7" s="1"/>
  <c r="G449" i="7"/>
  <c r="V449" i="7" s="1"/>
  <c r="G448" i="7"/>
  <c r="W446" i="7"/>
  <c r="U446" i="7"/>
  <c r="T446" i="7"/>
  <c r="S446" i="7"/>
  <c r="R446" i="7"/>
  <c r="Q446" i="7"/>
  <c r="P446" i="7"/>
  <c r="O446" i="7"/>
  <c r="N446" i="7"/>
  <c r="M446" i="7"/>
  <c r="K446" i="7"/>
  <c r="J446" i="7"/>
  <c r="F446" i="7"/>
  <c r="E446" i="7"/>
  <c r="H443" i="7"/>
  <c r="I443" i="7" s="1"/>
  <c r="L442" i="7"/>
  <c r="L446" i="7" s="1"/>
  <c r="I442" i="7"/>
  <c r="G442" i="7"/>
  <c r="V442" i="7" s="1"/>
  <c r="H441" i="7"/>
  <c r="I441" i="7" s="1"/>
  <c r="H440" i="7"/>
  <c r="G440" i="7" s="1"/>
  <c r="V438" i="7"/>
  <c r="U438" i="7"/>
  <c r="T438" i="7"/>
  <c r="S438" i="7"/>
  <c r="Q438" i="7"/>
  <c r="O438" i="7"/>
  <c r="M438" i="7"/>
  <c r="K438" i="7"/>
  <c r="J438" i="7"/>
  <c r="H438" i="7"/>
  <c r="F438" i="7"/>
  <c r="E438" i="7"/>
  <c r="L435" i="7"/>
  <c r="G435" i="7"/>
  <c r="G438" i="7" s="1"/>
  <c r="V433" i="7"/>
  <c r="U433" i="7"/>
  <c r="T433" i="7"/>
  <c r="S433" i="7"/>
  <c r="R433" i="7"/>
  <c r="Q433" i="7"/>
  <c r="M433" i="7"/>
  <c r="J433" i="7"/>
  <c r="P430" i="7"/>
  <c r="L430" i="7"/>
  <c r="I430" i="7"/>
  <c r="G430" i="7"/>
  <c r="W430" i="7" s="1"/>
  <c r="P429" i="7"/>
  <c r="L429" i="7"/>
  <c r="G429" i="7"/>
  <c r="W429" i="7" s="1"/>
  <c r="P428" i="7"/>
  <c r="L428" i="7"/>
  <c r="I428" i="7"/>
  <c r="G428" i="7"/>
  <c r="W428" i="7" s="1"/>
  <c r="P427" i="7"/>
  <c r="N427" i="7"/>
  <c r="N433" i="7" s="1"/>
  <c r="L427" i="7"/>
  <c r="H427" i="7"/>
  <c r="G427" i="7" s="1"/>
  <c r="P426" i="7"/>
  <c r="L426" i="7"/>
  <c r="H426" i="7"/>
  <c r="G426" i="7" s="1"/>
  <c r="W426" i="7" s="1"/>
  <c r="P425" i="7"/>
  <c r="L425" i="7"/>
  <c r="G425" i="7"/>
  <c r="W425" i="7" s="1"/>
  <c r="O423" i="7"/>
  <c r="P423" i="7" s="1"/>
  <c r="K423" i="7"/>
  <c r="L423" i="7" s="1"/>
  <c r="H423" i="7"/>
  <c r="F422" i="7"/>
  <c r="F433" i="7" s="1"/>
  <c r="E422" i="7"/>
  <c r="E433" i="7" s="1"/>
  <c r="O421" i="7"/>
  <c r="P421" i="7" s="1"/>
  <c r="K421" i="7"/>
  <c r="L421" i="7" s="1"/>
  <c r="H421" i="7"/>
  <c r="V419" i="7"/>
  <c r="U419" i="7"/>
  <c r="T419" i="7"/>
  <c r="S419" i="7"/>
  <c r="Q419" i="7"/>
  <c r="O419" i="7"/>
  <c r="M419" i="7"/>
  <c r="K419" i="7"/>
  <c r="J419" i="7"/>
  <c r="H419" i="7"/>
  <c r="F419" i="7"/>
  <c r="E419" i="7"/>
  <c r="V418" i="7"/>
  <c r="U418" i="7"/>
  <c r="T418" i="7"/>
  <c r="S418" i="7"/>
  <c r="Q418" i="7"/>
  <c r="O418" i="7"/>
  <c r="M418" i="7"/>
  <c r="K418" i="7"/>
  <c r="J418" i="7"/>
  <c r="H418" i="7"/>
  <c r="F418" i="7"/>
  <c r="E418" i="7"/>
  <c r="L416" i="7"/>
  <c r="G416" i="7"/>
  <c r="W416" i="7" s="1"/>
  <c r="W419" i="7" s="1"/>
  <c r="G415" i="7"/>
  <c r="W415" i="7" s="1"/>
  <c r="G414" i="7"/>
  <c r="V412" i="7"/>
  <c r="U412" i="7"/>
  <c r="T412" i="7"/>
  <c r="S412" i="7"/>
  <c r="Q412" i="7"/>
  <c r="O412" i="7"/>
  <c r="M412" i="7"/>
  <c r="K412" i="7"/>
  <c r="J412" i="7"/>
  <c r="H412" i="7"/>
  <c r="F412" i="7"/>
  <c r="E412" i="7"/>
  <c r="L409" i="7"/>
  <c r="G409" i="7"/>
  <c r="G412" i="7" s="1"/>
  <c r="W404" i="7"/>
  <c r="V404" i="7"/>
  <c r="U404" i="7"/>
  <c r="T404" i="7"/>
  <c r="S404" i="7"/>
  <c r="Q404" i="7"/>
  <c r="O404" i="7"/>
  <c r="M404" i="7"/>
  <c r="K404" i="7"/>
  <c r="J404" i="7"/>
  <c r="H404" i="7"/>
  <c r="G404" i="7"/>
  <c r="F404" i="7"/>
  <c r="E404" i="7"/>
  <c r="V403" i="7"/>
  <c r="U403" i="7"/>
  <c r="T403" i="7"/>
  <c r="S403" i="7"/>
  <c r="Q403" i="7"/>
  <c r="M403" i="7"/>
  <c r="J403" i="7"/>
  <c r="V402" i="7"/>
  <c r="V405" i="7" s="1"/>
  <c r="U402" i="7"/>
  <c r="U405" i="7" s="1"/>
  <c r="T402" i="7"/>
  <c r="T405" i="7" s="1"/>
  <c r="S402" i="7"/>
  <c r="S405" i="7" s="1"/>
  <c r="Q402" i="7"/>
  <c r="Q405" i="7" s="1"/>
  <c r="O402" i="7"/>
  <c r="O405" i="7" s="1"/>
  <c r="M402" i="7"/>
  <c r="M405" i="7" s="1"/>
  <c r="K402" i="7"/>
  <c r="J402" i="7"/>
  <c r="H402" i="7"/>
  <c r="F402" i="7"/>
  <c r="E402" i="7"/>
  <c r="O400" i="7"/>
  <c r="P400" i="7" s="1"/>
  <c r="L400" i="7"/>
  <c r="I400" i="7"/>
  <c r="O399" i="7"/>
  <c r="P399" i="7" s="1"/>
  <c r="L399" i="7"/>
  <c r="I399" i="7"/>
  <c r="O398" i="7"/>
  <c r="P398" i="7" s="1"/>
  <c r="L398" i="7"/>
  <c r="I398" i="7"/>
  <c r="O397" i="7"/>
  <c r="P397" i="7" s="1"/>
  <c r="L397" i="7"/>
  <c r="I397" i="7"/>
  <c r="P396" i="7"/>
  <c r="L396" i="7"/>
  <c r="H396" i="7"/>
  <c r="G396" i="7" s="1"/>
  <c r="W396" i="7" s="1"/>
  <c r="P395" i="7"/>
  <c r="L395" i="7"/>
  <c r="H395" i="7"/>
  <c r="I395" i="7" s="1"/>
  <c r="P394" i="7"/>
  <c r="K394" i="7"/>
  <c r="G394" i="7" s="1"/>
  <c r="W394" i="7" s="1"/>
  <c r="P393" i="7"/>
  <c r="K393" i="7"/>
  <c r="G393" i="7" s="1"/>
  <c r="W393" i="7" s="1"/>
  <c r="I393" i="7"/>
  <c r="P392" i="7"/>
  <c r="K392" i="7"/>
  <c r="G392" i="7" s="1"/>
  <c r="W392" i="7" s="1"/>
  <c r="O391" i="7"/>
  <c r="P391" i="7" s="1"/>
  <c r="L391" i="7"/>
  <c r="P390" i="7"/>
  <c r="L390" i="7"/>
  <c r="H390" i="7"/>
  <c r="I390" i="7" s="1"/>
  <c r="P389" i="7"/>
  <c r="K389" i="7"/>
  <c r="L389" i="7" s="1"/>
  <c r="I389" i="7"/>
  <c r="O388" i="7"/>
  <c r="P388" i="7" s="1"/>
  <c r="L388" i="7"/>
  <c r="I388" i="7"/>
  <c r="O387" i="7"/>
  <c r="P387" i="7" s="1"/>
  <c r="L387" i="7"/>
  <c r="I387" i="7"/>
  <c r="P386" i="7"/>
  <c r="L386" i="7"/>
  <c r="H386" i="7"/>
  <c r="G386" i="7" s="1"/>
  <c r="W386" i="7" s="1"/>
  <c r="F403" i="7"/>
  <c r="H385" i="7"/>
  <c r="G385" i="7" s="1"/>
  <c r="W385" i="7" s="1"/>
  <c r="P384" i="7"/>
  <c r="K384" i="7"/>
  <c r="G384" i="7" s="1"/>
  <c r="W384" i="7" s="1"/>
  <c r="I384" i="7"/>
  <c r="K383" i="7"/>
  <c r="L383" i="7" s="1"/>
  <c r="I383" i="7"/>
  <c r="P382" i="7"/>
  <c r="L382" i="7"/>
  <c r="H382" i="7"/>
  <c r="I382" i="7" s="1"/>
  <c r="G381" i="7"/>
  <c r="W381" i="7" s="1"/>
  <c r="G380" i="7"/>
  <c r="W380" i="7" s="1"/>
  <c r="G379" i="7"/>
  <c r="W379" i="7" s="1"/>
  <c r="G378" i="7"/>
  <c r="W378" i="7" s="1"/>
  <c r="G377" i="7"/>
  <c r="W377" i="7" s="1"/>
  <c r="G376" i="7"/>
  <c r="W376" i="7" s="1"/>
  <c r="G375" i="7"/>
  <c r="W375" i="7" s="1"/>
  <c r="G374" i="7"/>
  <c r="W374" i="7" s="1"/>
  <c r="G373" i="7"/>
  <c r="W373" i="7" s="1"/>
  <c r="G372" i="7"/>
  <c r="V370" i="7"/>
  <c r="U370" i="7"/>
  <c r="T370" i="7"/>
  <c r="S370" i="7"/>
  <c r="Q370" i="7"/>
  <c r="O370" i="7"/>
  <c r="M370" i="7"/>
  <c r="K370" i="7"/>
  <c r="J370" i="7"/>
  <c r="H370" i="7"/>
  <c r="F370" i="7"/>
  <c r="E370" i="7"/>
  <c r="K369" i="7"/>
  <c r="J369" i="7"/>
  <c r="J405" i="7" s="1"/>
  <c r="H369" i="7"/>
  <c r="F369" i="7"/>
  <c r="E369" i="7"/>
  <c r="L367" i="7"/>
  <c r="G367" i="7"/>
  <c r="W367" i="7" s="1"/>
  <c r="W370" i="7" s="1"/>
  <c r="G366" i="7"/>
  <c r="W366" i="7" s="1"/>
  <c r="G365" i="7"/>
  <c r="W365" i="7" s="1"/>
  <c r="G364" i="7"/>
  <c r="W364" i="7" s="1"/>
  <c r="G363" i="7"/>
  <c r="W363" i="7" s="1"/>
  <c r="V361" i="7"/>
  <c r="U361" i="7"/>
  <c r="T361" i="7"/>
  <c r="S361" i="7"/>
  <c r="Q361" i="7"/>
  <c r="O361" i="7"/>
  <c r="M361" i="7"/>
  <c r="K361" i="7"/>
  <c r="J361" i="7"/>
  <c r="H361" i="7"/>
  <c r="F361" i="7"/>
  <c r="E361" i="7"/>
  <c r="L358" i="7"/>
  <c r="G358" i="7"/>
  <c r="G361" i="7" s="1"/>
  <c r="W356" i="7"/>
  <c r="V356" i="7"/>
  <c r="U356" i="7"/>
  <c r="T356" i="7"/>
  <c r="S356" i="7"/>
  <c r="Q356" i="7"/>
  <c r="M356" i="7"/>
  <c r="J356" i="7"/>
  <c r="H356" i="7"/>
  <c r="F356" i="7"/>
  <c r="E356" i="7"/>
  <c r="K353" i="7"/>
  <c r="G353" i="7" s="1"/>
  <c r="O352" i="7"/>
  <c r="G352" i="7" s="1"/>
  <c r="L352" i="7"/>
  <c r="V349" i="7"/>
  <c r="U349" i="7"/>
  <c r="T349" i="7"/>
  <c r="S349" i="7"/>
  <c r="Q349" i="7"/>
  <c r="J349" i="7"/>
  <c r="F349" i="7"/>
  <c r="V348" i="7"/>
  <c r="U348" i="7"/>
  <c r="T348" i="7"/>
  <c r="S348" i="7"/>
  <c r="R348" i="7"/>
  <c r="Q348" i="7"/>
  <c r="P348" i="7"/>
  <c r="O348" i="7"/>
  <c r="N348" i="7"/>
  <c r="M348" i="7"/>
  <c r="L348" i="7"/>
  <c r="K348" i="7"/>
  <c r="J348" i="7"/>
  <c r="I348" i="7"/>
  <c r="H348" i="7"/>
  <c r="F348" i="7"/>
  <c r="E348" i="7"/>
  <c r="W347" i="7"/>
  <c r="U347" i="7"/>
  <c r="T347" i="7"/>
  <c r="S347" i="7"/>
  <c r="R347" i="7"/>
  <c r="Q347" i="7"/>
  <c r="P347" i="7"/>
  <c r="O347" i="7"/>
  <c r="N347" i="7"/>
  <c r="M347" i="7"/>
  <c r="L347" i="7"/>
  <c r="K347" i="7"/>
  <c r="J347" i="7"/>
  <c r="I347" i="7"/>
  <c r="H347" i="7"/>
  <c r="E347" i="7"/>
  <c r="P346" i="7"/>
  <c r="I346" i="7"/>
  <c r="G346" i="7"/>
  <c r="W346" i="7" s="1"/>
  <c r="O345" i="7"/>
  <c r="P345" i="7" s="1"/>
  <c r="K345" i="7"/>
  <c r="L345" i="7" s="1"/>
  <c r="H345" i="7"/>
  <c r="O344" i="7"/>
  <c r="P344" i="7" s="1"/>
  <c r="H344" i="7"/>
  <c r="P343" i="7"/>
  <c r="H343" i="7"/>
  <c r="I343" i="7" s="1"/>
  <c r="R349" i="7"/>
  <c r="P342" i="7"/>
  <c r="I342" i="7"/>
  <c r="G342" i="7"/>
  <c r="W342" i="7" s="1"/>
  <c r="P341" i="7"/>
  <c r="M341" i="7"/>
  <c r="M349" i="7" s="1"/>
  <c r="L341" i="7"/>
  <c r="H341" i="7"/>
  <c r="I341" i="7" s="1"/>
  <c r="O340" i="7"/>
  <c r="P340" i="7" s="1"/>
  <c r="L340" i="7"/>
  <c r="I340" i="7"/>
  <c r="O339" i="7"/>
  <c r="P339" i="7" s="1"/>
  <c r="K339" i="7"/>
  <c r="L339" i="7" s="1"/>
  <c r="H339" i="7"/>
  <c r="O338" i="7"/>
  <c r="P338" i="7" s="1"/>
  <c r="K338" i="7"/>
  <c r="L338" i="7" s="1"/>
  <c r="H338" i="7"/>
  <c r="I338" i="7" s="1"/>
  <c r="O337" i="7"/>
  <c r="K337" i="7"/>
  <c r="H337" i="7"/>
  <c r="G336" i="7"/>
  <c r="W336" i="7" s="1"/>
  <c r="G335" i="7"/>
  <c r="W335" i="7" s="1"/>
  <c r="G334" i="7"/>
  <c r="V334" i="7" s="1"/>
  <c r="F334" i="7"/>
  <c r="F347" i="7" s="1"/>
  <c r="G333" i="7"/>
  <c r="V333" i="7" s="1"/>
  <c r="G332" i="7"/>
  <c r="V332" i="7" s="1"/>
  <c r="G331" i="7"/>
  <c r="V331" i="7" s="1"/>
  <c r="G330" i="7"/>
  <c r="V330" i="7" s="1"/>
  <c r="G329" i="7"/>
  <c r="V329" i="7" s="1"/>
  <c r="G328" i="7"/>
  <c r="V328" i="7" s="1"/>
  <c r="G327" i="7"/>
  <c r="V327" i="7" s="1"/>
  <c r="G326" i="7"/>
  <c r="V326" i="7" s="1"/>
  <c r="G325" i="7"/>
  <c r="V325" i="7" s="1"/>
  <c r="G324" i="7"/>
  <c r="V324" i="7" s="1"/>
  <c r="G323" i="7"/>
  <c r="V323" i="7" s="1"/>
  <c r="G322" i="7"/>
  <c r="V322" i="7" s="1"/>
  <c r="G321" i="7"/>
  <c r="V321" i="7" s="1"/>
  <c r="G320" i="7"/>
  <c r="V320" i="7" s="1"/>
  <c r="G319" i="7"/>
  <c r="V319" i="7" s="1"/>
  <c r="G318" i="7"/>
  <c r="V318" i="7" s="1"/>
  <c r="G317" i="7"/>
  <c r="V317" i="7" s="1"/>
  <c r="G316" i="7"/>
  <c r="V316" i="7" s="1"/>
  <c r="G315" i="7"/>
  <c r="V315" i="7" s="1"/>
  <c r="G314" i="7"/>
  <c r="V314" i="7" s="1"/>
  <c r="G313" i="7"/>
  <c r="V313" i="7" s="1"/>
  <c r="G312" i="7"/>
  <c r="V312" i="7" s="1"/>
  <c r="G311" i="7"/>
  <c r="V311" i="7" s="1"/>
  <c r="G310" i="7"/>
  <c r="V310" i="7" s="1"/>
  <c r="G309" i="7"/>
  <c r="V309" i="7" s="1"/>
  <c r="G308" i="7"/>
  <c r="V308" i="7" s="1"/>
  <c r="G307" i="7"/>
  <c r="V307" i="7" s="1"/>
  <c r="G306" i="7"/>
  <c r="V306" i="7" s="1"/>
  <c r="G305" i="7"/>
  <c r="V305" i="7" s="1"/>
  <c r="G304" i="7"/>
  <c r="V304" i="7" s="1"/>
  <c r="W302" i="7"/>
  <c r="U302" i="7"/>
  <c r="T302" i="7"/>
  <c r="S302" i="7"/>
  <c r="Q302" i="7"/>
  <c r="O302" i="7"/>
  <c r="M302" i="7"/>
  <c r="K302" i="7"/>
  <c r="J302" i="7"/>
  <c r="E302" i="7"/>
  <c r="F299" i="7"/>
  <c r="H299" i="7" s="1"/>
  <c r="V299" i="7" s="1"/>
  <c r="F298" i="7"/>
  <c r="V296" i="7"/>
  <c r="U296" i="7"/>
  <c r="T296" i="7"/>
  <c r="S296" i="7"/>
  <c r="Q296" i="7"/>
  <c r="O296" i="7"/>
  <c r="M296" i="7"/>
  <c r="K296" i="7"/>
  <c r="J296" i="7"/>
  <c r="H296" i="7"/>
  <c r="F296" i="7"/>
  <c r="E296" i="7"/>
  <c r="L293" i="7"/>
  <c r="G293" i="7"/>
  <c r="W293" i="7" s="1"/>
  <c r="G292" i="7"/>
  <c r="W292" i="7" s="1"/>
  <c r="V290" i="7"/>
  <c r="U290" i="7"/>
  <c r="T290" i="7"/>
  <c r="S290" i="7"/>
  <c r="Q290" i="7"/>
  <c r="O290" i="7"/>
  <c r="M290" i="7"/>
  <c r="K290" i="7"/>
  <c r="J290" i="7"/>
  <c r="H290" i="7"/>
  <c r="F290" i="7"/>
  <c r="E290" i="7"/>
  <c r="L287" i="7"/>
  <c r="I287" i="7"/>
  <c r="G287" i="7"/>
  <c r="W287" i="7" s="1"/>
  <c r="L286" i="7"/>
  <c r="G286" i="7"/>
  <c r="V284" i="7"/>
  <c r="U284" i="7"/>
  <c r="T284" i="7"/>
  <c r="S284" i="7"/>
  <c r="Q284" i="7"/>
  <c r="O284" i="7"/>
  <c r="M284" i="7"/>
  <c r="K284" i="7"/>
  <c r="J284" i="7"/>
  <c r="H284" i="7"/>
  <c r="F284" i="7"/>
  <c r="U283" i="7"/>
  <c r="S283" i="7"/>
  <c r="Q283" i="7"/>
  <c r="O283" i="7"/>
  <c r="M283" i="7"/>
  <c r="K283" i="7"/>
  <c r="J283" i="7"/>
  <c r="H283" i="7"/>
  <c r="E283" i="7"/>
  <c r="P281" i="7"/>
  <c r="L281" i="7"/>
  <c r="I281" i="7"/>
  <c r="G281" i="7"/>
  <c r="W281" i="7" s="1"/>
  <c r="P280" i="7"/>
  <c r="L280" i="7"/>
  <c r="I280" i="7"/>
  <c r="G280" i="7"/>
  <c r="W280" i="7" s="1"/>
  <c r="P279" i="7"/>
  <c r="G279" i="7"/>
  <c r="W279" i="7" s="1"/>
  <c r="P278" i="7"/>
  <c r="L278" i="7"/>
  <c r="G278" i="7"/>
  <c r="W278" i="7" s="1"/>
  <c r="P277" i="7"/>
  <c r="L277" i="7"/>
  <c r="G277" i="7"/>
  <c r="W277" i="7" s="1"/>
  <c r="P276" i="7"/>
  <c r="L276" i="7"/>
  <c r="G276" i="7"/>
  <c r="W276" i="7" s="1"/>
  <c r="P275" i="7"/>
  <c r="L275" i="7"/>
  <c r="G275" i="7"/>
  <c r="W275" i="7" s="1"/>
  <c r="I274" i="7"/>
  <c r="G274" i="7"/>
  <c r="W274" i="7" s="1"/>
  <c r="P273" i="7"/>
  <c r="I273" i="7"/>
  <c r="G273" i="7"/>
  <c r="W273" i="7" s="1"/>
  <c r="P272" i="7"/>
  <c r="L272" i="7"/>
  <c r="G272" i="7"/>
  <c r="W272" i="7" s="1"/>
  <c r="P271" i="7"/>
  <c r="L271" i="7"/>
  <c r="I271" i="7"/>
  <c r="G271" i="7"/>
  <c r="W271" i="7" s="1"/>
  <c r="P270" i="7"/>
  <c r="L270" i="7"/>
  <c r="I270" i="7"/>
  <c r="G270" i="7"/>
  <c r="W270" i="7" s="1"/>
  <c r="P269" i="7"/>
  <c r="L269" i="7"/>
  <c r="I269" i="7"/>
  <c r="G269" i="7"/>
  <c r="W269" i="7" s="1"/>
  <c r="P268" i="7"/>
  <c r="L268" i="7"/>
  <c r="I268" i="7"/>
  <c r="G268" i="7"/>
  <c r="W268" i="7" s="1"/>
  <c r="P267" i="7"/>
  <c r="L267" i="7"/>
  <c r="I267" i="7"/>
  <c r="G267" i="7"/>
  <c r="W267" i="7" s="1"/>
  <c r="P266" i="7"/>
  <c r="L266" i="7"/>
  <c r="I266" i="7"/>
  <c r="G266" i="7"/>
  <c r="W266" i="7" s="1"/>
  <c r="P265" i="7"/>
  <c r="G265" i="7"/>
  <c r="W265" i="7" s="1"/>
  <c r="P264" i="7"/>
  <c r="L264" i="7"/>
  <c r="I264" i="7"/>
  <c r="G264" i="7"/>
  <c r="W264" i="7" s="1"/>
  <c r="P263" i="7"/>
  <c r="L263" i="7"/>
  <c r="I263" i="7"/>
  <c r="G263" i="7"/>
  <c r="W263" i="7" s="1"/>
  <c r="P262" i="7"/>
  <c r="L262" i="7"/>
  <c r="I262" i="7"/>
  <c r="G262" i="7"/>
  <c r="W262" i="7" s="1"/>
  <c r="P261" i="7"/>
  <c r="L261" i="7"/>
  <c r="I261" i="7"/>
  <c r="G261" i="7"/>
  <c r="W261" i="7" s="1"/>
  <c r="P260" i="7"/>
  <c r="L260" i="7"/>
  <c r="I260" i="7"/>
  <c r="G260" i="7"/>
  <c r="W260" i="7" s="1"/>
  <c r="P259" i="7"/>
  <c r="L259" i="7"/>
  <c r="I259" i="7"/>
  <c r="G259" i="7"/>
  <c r="W259" i="7" s="1"/>
  <c r="P258" i="7"/>
  <c r="L258" i="7"/>
  <c r="I258" i="7"/>
  <c r="G258" i="7"/>
  <c r="W258" i="7" s="1"/>
  <c r="P257" i="7"/>
  <c r="L257" i="7"/>
  <c r="I257" i="7"/>
  <c r="G257" i="7"/>
  <c r="W257" i="7" s="1"/>
  <c r="P256" i="7"/>
  <c r="L256" i="7"/>
  <c r="I256" i="7"/>
  <c r="G256" i="7"/>
  <c r="W256" i="7" s="1"/>
  <c r="P255" i="7"/>
  <c r="L255" i="7"/>
  <c r="I255" i="7"/>
  <c r="G255" i="7"/>
  <c r="W255" i="7" s="1"/>
  <c r="P254" i="7"/>
  <c r="L254" i="7"/>
  <c r="I254" i="7"/>
  <c r="G254" i="7"/>
  <c r="G253" i="7"/>
  <c r="W253" i="7" s="1"/>
  <c r="G252" i="7"/>
  <c r="W252" i="7" s="1"/>
  <c r="G251" i="7"/>
  <c r="W251" i="7" s="1"/>
  <c r="G250" i="7"/>
  <c r="W250" i="7" s="1"/>
  <c r="G249" i="7"/>
  <c r="W249" i="7" s="1"/>
  <c r="T248" i="7"/>
  <c r="G248" i="7"/>
  <c r="G247" i="7"/>
  <c r="G246" i="7"/>
  <c r="G245" i="7"/>
  <c r="T244" i="7"/>
  <c r="G244" i="7"/>
  <c r="T243" i="7"/>
  <c r="G243" i="7"/>
  <c r="G242" i="7"/>
  <c r="F242" i="7"/>
  <c r="F283" i="7" s="1"/>
  <c r="G241" i="7"/>
  <c r="G240" i="7"/>
  <c r="G239" i="7"/>
  <c r="G238" i="7"/>
  <c r="G237" i="7"/>
  <c r="G236" i="7"/>
  <c r="G235" i="7"/>
  <c r="G234" i="7"/>
  <c r="G233" i="7"/>
  <c r="G232" i="7"/>
  <c r="V230" i="7"/>
  <c r="U230" i="7"/>
  <c r="T230" i="7"/>
  <c r="S230" i="7"/>
  <c r="R230" i="7"/>
  <c r="Q230" i="7"/>
  <c r="P230" i="7"/>
  <c r="O230" i="7"/>
  <c r="N230" i="7"/>
  <c r="M230" i="7"/>
  <c r="J230" i="7"/>
  <c r="F230" i="7"/>
  <c r="E230" i="7"/>
  <c r="L227" i="7"/>
  <c r="I227" i="7"/>
  <c r="G227" i="7"/>
  <c r="W227" i="7" s="1"/>
  <c r="L226" i="7"/>
  <c r="G226" i="7"/>
  <c r="W226" i="7" s="1"/>
  <c r="L225" i="7"/>
  <c r="I225" i="7"/>
  <c r="G225" i="7"/>
  <c r="W225" i="7" s="1"/>
  <c r="L224" i="7"/>
  <c r="I224" i="7"/>
  <c r="G224" i="7"/>
  <c r="W224" i="7" s="1"/>
  <c r="K223" i="7"/>
  <c r="G223" i="7" s="1"/>
  <c r="W223" i="7" s="1"/>
  <c r="I223" i="7"/>
  <c r="K222" i="7"/>
  <c r="G222" i="7" s="1"/>
  <c r="W222" i="7" s="1"/>
  <c r="I222" i="7"/>
  <c r="L221" i="7"/>
  <c r="I221" i="7"/>
  <c r="G221" i="7"/>
  <c r="W221" i="7" s="1"/>
  <c r="L220" i="7"/>
  <c r="I220" i="7"/>
  <c r="G220" i="7"/>
  <c r="W220" i="7" s="1"/>
  <c r="L219" i="7"/>
  <c r="I219" i="7"/>
  <c r="G219" i="7"/>
  <c r="W219" i="7" s="1"/>
  <c r="L218" i="7"/>
  <c r="I218" i="7"/>
  <c r="G218" i="7"/>
  <c r="W218" i="7" s="1"/>
  <c r="L217" i="7"/>
  <c r="I217" i="7"/>
  <c r="G217" i="7"/>
  <c r="W217" i="7" s="1"/>
  <c r="L216" i="7"/>
  <c r="I216" i="7"/>
  <c r="G216" i="7"/>
  <c r="W216" i="7" s="1"/>
  <c r="L215" i="7"/>
  <c r="I215" i="7"/>
  <c r="G215" i="7"/>
  <c r="W215" i="7" s="1"/>
  <c r="V213" i="7"/>
  <c r="U213" i="7"/>
  <c r="T213" i="7"/>
  <c r="S213" i="7"/>
  <c r="J213" i="7"/>
  <c r="E213" i="7"/>
  <c r="V212" i="7"/>
  <c r="U212" i="7"/>
  <c r="T212" i="7"/>
  <c r="S212" i="7"/>
  <c r="Q212" i="7"/>
  <c r="O212" i="7"/>
  <c r="M212" i="7"/>
  <c r="K212" i="7"/>
  <c r="J212" i="7"/>
  <c r="H212" i="7"/>
  <c r="F212" i="7"/>
  <c r="E212" i="7"/>
  <c r="I210" i="7"/>
  <c r="G210" i="7"/>
  <c r="W210" i="7" s="1"/>
  <c r="G209" i="7"/>
  <c r="W209" i="7" s="1"/>
  <c r="F209" i="7"/>
  <c r="P209" i="7" s="1"/>
  <c r="P208" i="7"/>
  <c r="G207" i="7"/>
  <c r="W207" i="7" s="1"/>
  <c r="G206" i="7"/>
  <c r="W206" i="7" s="1"/>
  <c r="G205" i="7"/>
  <c r="V203" i="7"/>
  <c r="U203" i="7"/>
  <c r="T203" i="7"/>
  <c r="S203" i="7"/>
  <c r="N203" i="7"/>
  <c r="M203" i="7"/>
  <c r="V202" i="7"/>
  <c r="U202" i="7"/>
  <c r="T202" i="7"/>
  <c r="S202" i="7"/>
  <c r="R202" i="7"/>
  <c r="Q202" i="7"/>
  <c r="P202" i="7"/>
  <c r="O202" i="7"/>
  <c r="N202" i="7"/>
  <c r="M202" i="7"/>
  <c r="L202" i="7"/>
  <c r="K202" i="7"/>
  <c r="J202" i="7"/>
  <c r="I202" i="7"/>
  <c r="H202" i="7"/>
  <c r="E202" i="7"/>
  <c r="W201" i="7"/>
  <c r="V201" i="7"/>
  <c r="U201" i="7"/>
  <c r="T201" i="7"/>
  <c r="T15" i="7" s="1"/>
  <c r="S201" i="7"/>
  <c r="R201" i="7"/>
  <c r="Q201" i="7"/>
  <c r="P201" i="7"/>
  <c r="P15" i="7" s="1"/>
  <c r="O201" i="7"/>
  <c r="N201" i="7"/>
  <c r="M201" i="7"/>
  <c r="K201" i="7"/>
  <c r="K15" i="7" s="1"/>
  <c r="J201" i="7"/>
  <c r="I201" i="7"/>
  <c r="H201" i="7"/>
  <c r="F201" i="7"/>
  <c r="F15" i="7" s="1"/>
  <c r="E201" i="7"/>
  <c r="K200" i="7"/>
  <c r="L200" i="7" s="1"/>
  <c r="L198" i="7"/>
  <c r="G198" i="7"/>
  <c r="W198" i="7" s="1"/>
  <c r="K197" i="7"/>
  <c r="F197" i="7"/>
  <c r="E197" i="7"/>
  <c r="L195" i="7"/>
  <c r="G195" i="7"/>
  <c r="W195" i="7" s="1"/>
  <c r="L194" i="7"/>
  <c r="G194" i="7"/>
  <c r="W194" i="7" s="1"/>
  <c r="E194" i="7"/>
  <c r="K193" i="7"/>
  <c r="L193" i="7" s="1"/>
  <c r="E193" i="7"/>
  <c r="L192" i="7"/>
  <c r="G192" i="7"/>
  <c r="W192" i="7" s="1"/>
  <c r="P191" i="7"/>
  <c r="L191" i="7"/>
  <c r="I191" i="7"/>
  <c r="G191" i="7"/>
  <c r="W191" i="7" s="1"/>
  <c r="L190" i="7"/>
  <c r="H190" i="7"/>
  <c r="G190" i="7" s="1"/>
  <c r="W190" i="7" s="1"/>
  <c r="L189" i="7"/>
  <c r="H189" i="7"/>
  <c r="G189" i="7" s="1"/>
  <c r="W189" i="7" s="1"/>
  <c r="L188" i="7"/>
  <c r="I188" i="7"/>
  <c r="G188" i="7"/>
  <c r="W188" i="7" s="1"/>
  <c r="L187" i="7"/>
  <c r="G187" i="7"/>
  <c r="W187" i="7" s="1"/>
  <c r="L186" i="7"/>
  <c r="G186" i="7"/>
  <c r="W186" i="7" s="1"/>
  <c r="L185" i="7"/>
  <c r="G185" i="7"/>
  <c r="W185" i="7" s="1"/>
  <c r="L184" i="7"/>
  <c r="I184" i="7"/>
  <c r="G184" i="7"/>
  <c r="W184" i="7" s="1"/>
  <c r="L183" i="7"/>
  <c r="I183" i="7"/>
  <c r="G183" i="7"/>
  <c r="W183" i="7" s="1"/>
  <c r="L182" i="7"/>
  <c r="H182" i="7"/>
  <c r="G181" i="7"/>
  <c r="W181" i="7" s="1"/>
  <c r="F181" i="7"/>
  <c r="L181" i="7" s="1"/>
  <c r="L180" i="7"/>
  <c r="I180" i="7"/>
  <c r="G180" i="7"/>
  <c r="W180" i="7" s="1"/>
  <c r="L179" i="7"/>
  <c r="H179" i="7"/>
  <c r="L177" i="7"/>
  <c r="G177" i="7"/>
  <c r="W177" i="7" s="1"/>
  <c r="L176" i="7"/>
  <c r="G176" i="7"/>
  <c r="W176" i="7" s="1"/>
  <c r="L175" i="7"/>
  <c r="G175" i="7"/>
  <c r="W175" i="7" s="1"/>
  <c r="L174" i="7"/>
  <c r="H174" i="7"/>
  <c r="G174" i="7" s="1"/>
  <c r="W174" i="7" s="1"/>
  <c r="F172" i="7"/>
  <c r="K172" i="7" s="1"/>
  <c r="E172" i="7"/>
  <c r="P171" i="7"/>
  <c r="L171" i="7"/>
  <c r="H171" i="7"/>
  <c r="G171" i="7" s="1"/>
  <c r="W171" i="7" s="1"/>
  <c r="K170" i="7"/>
  <c r="G170" i="7" s="1"/>
  <c r="W170" i="7" s="1"/>
  <c r="L169" i="7"/>
  <c r="G169" i="7"/>
  <c r="W169" i="7" s="1"/>
  <c r="L167" i="7"/>
  <c r="J167" i="7"/>
  <c r="J203" i="7" s="1"/>
  <c r="G166" i="7"/>
  <c r="W166" i="7" s="1"/>
  <c r="L165" i="7"/>
  <c r="G165" i="7"/>
  <c r="W165" i="7" s="1"/>
  <c r="K164" i="7"/>
  <c r="G164" i="7" s="1"/>
  <c r="W164" i="7" s="1"/>
  <c r="F164" i="7"/>
  <c r="E164" i="7"/>
  <c r="K163" i="7"/>
  <c r="G163" i="7" s="1"/>
  <c r="W163" i="7" s="1"/>
  <c r="G162" i="7"/>
  <c r="W162" i="7" s="1"/>
  <c r="E162" i="7"/>
  <c r="L160" i="7"/>
  <c r="I160" i="7"/>
  <c r="G160" i="7"/>
  <c r="W160" i="7" s="1"/>
  <c r="L159" i="7"/>
  <c r="G159" i="7"/>
  <c r="W159" i="7" s="1"/>
  <c r="L158" i="7"/>
  <c r="H158" i="7"/>
  <c r="L157" i="7"/>
  <c r="I157" i="7"/>
  <c r="G157" i="7"/>
  <c r="W157" i="7" s="1"/>
  <c r="O156" i="7"/>
  <c r="P156" i="7" s="1"/>
  <c r="L156" i="7"/>
  <c r="E156" i="7"/>
  <c r="K155" i="7"/>
  <c r="G154" i="7"/>
  <c r="W154" i="7" s="1"/>
  <c r="G153" i="7"/>
  <c r="W153" i="7" s="1"/>
  <c r="G152" i="7"/>
  <c r="W152" i="7" s="1"/>
  <c r="G151" i="7"/>
  <c r="W151" i="7" s="1"/>
  <c r="G150" i="7"/>
  <c r="W150" i="7" s="1"/>
  <c r="G149" i="7"/>
  <c r="W149" i="7" s="1"/>
  <c r="G148" i="7"/>
  <c r="W148" i="7" s="1"/>
  <c r="F148" i="7"/>
  <c r="G147" i="7"/>
  <c r="W147" i="7" s="1"/>
  <c r="F147" i="7"/>
  <c r="G146" i="7"/>
  <c r="W146" i="7" s="1"/>
  <c r="G145" i="7"/>
  <c r="W145" i="7" s="1"/>
  <c r="G144" i="7"/>
  <c r="W144" i="7" s="1"/>
  <c r="G143" i="7"/>
  <c r="W143" i="7" s="1"/>
  <c r="F143" i="7"/>
  <c r="G142" i="7"/>
  <c r="W142" i="7" s="1"/>
  <c r="G141" i="7"/>
  <c r="W141" i="7" s="1"/>
  <c r="G140" i="7"/>
  <c r="W140" i="7" s="1"/>
  <c r="G139" i="7"/>
  <c r="W139" i="7" s="1"/>
  <c r="G138" i="7"/>
  <c r="W138" i="7" s="1"/>
  <c r="G137" i="7"/>
  <c r="W137" i="7" s="1"/>
  <c r="G136" i="7"/>
  <c r="W136" i="7" s="1"/>
  <c r="G135" i="7"/>
  <c r="W135" i="7" s="1"/>
  <c r="G134" i="7"/>
  <c r="W134" i="7" s="1"/>
  <c r="G133" i="7"/>
  <c r="W133" i="7" s="1"/>
  <c r="G132" i="7"/>
  <c r="W132" i="7" s="1"/>
  <c r="G131" i="7"/>
  <c r="G130" i="7"/>
  <c r="G129" i="7"/>
  <c r="G128" i="7"/>
  <c r="G127" i="7"/>
  <c r="G126" i="7"/>
  <c r="G125" i="7"/>
  <c r="G124" i="7"/>
  <c r="G123" i="7"/>
  <c r="G122" i="7"/>
  <c r="G121" i="7"/>
  <c r="G120" i="7"/>
  <c r="G119" i="7"/>
  <c r="G118" i="7"/>
  <c r="G117" i="7"/>
  <c r="G116" i="7"/>
  <c r="G115" i="7"/>
  <c r="G114" i="7"/>
  <c r="G113" i="7"/>
  <c r="G112" i="7"/>
  <c r="G111" i="7"/>
  <c r="G110" i="7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L93" i="7"/>
  <c r="L201" i="7" s="1"/>
  <c r="L15" i="7" s="1"/>
  <c r="G92" i="7"/>
  <c r="G91" i="7"/>
  <c r="G90" i="7"/>
  <c r="G89" i="7"/>
  <c r="G88" i="7"/>
  <c r="G87" i="7"/>
  <c r="V85" i="7"/>
  <c r="U85" i="7"/>
  <c r="T85" i="7"/>
  <c r="S85" i="7"/>
  <c r="R85" i="7"/>
  <c r="Q85" i="7"/>
  <c r="P85" i="7"/>
  <c r="O85" i="7"/>
  <c r="M85" i="7"/>
  <c r="J85" i="7"/>
  <c r="F85" i="7"/>
  <c r="U84" i="7"/>
  <c r="S84" i="7"/>
  <c r="R84" i="7"/>
  <c r="Q84" i="7"/>
  <c r="P84" i="7"/>
  <c r="O84" i="7"/>
  <c r="N84" i="7"/>
  <c r="M84" i="7"/>
  <c r="L84" i="7"/>
  <c r="K84" i="7"/>
  <c r="J84" i="7"/>
  <c r="I84" i="7"/>
  <c r="H84" i="7"/>
  <c r="F84" i="7"/>
  <c r="E84" i="7"/>
  <c r="I82" i="7"/>
  <c r="G82" i="7"/>
  <c r="W82" i="7" s="1"/>
  <c r="G81" i="7"/>
  <c r="W81" i="7" s="1"/>
  <c r="I80" i="7"/>
  <c r="G80" i="7"/>
  <c r="W80" i="7" s="1"/>
  <c r="I79" i="7"/>
  <c r="G79" i="7"/>
  <c r="W79" i="7" s="1"/>
  <c r="N78" i="7"/>
  <c r="N85" i="7" s="1"/>
  <c r="I78" i="7"/>
  <c r="G78" i="7"/>
  <c r="W78" i="7" s="1"/>
  <c r="W77" i="7"/>
  <c r="AB77" i="7" s="1"/>
  <c r="AC77" i="7" s="1"/>
  <c r="I77" i="7"/>
  <c r="G77" i="7"/>
  <c r="W76" i="7"/>
  <c r="AB76" i="7" s="1"/>
  <c r="G76" i="7"/>
  <c r="I75" i="7"/>
  <c r="G75" i="7"/>
  <c r="W75" i="7" s="1"/>
  <c r="G74" i="7"/>
  <c r="W74" i="7" s="1"/>
  <c r="G73" i="7"/>
  <c r="W73" i="7" s="1"/>
  <c r="G72" i="7"/>
  <c r="V72" i="7" s="1"/>
  <c r="G71" i="7"/>
  <c r="T71" i="7" s="1"/>
  <c r="T70" i="7"/>
  <c r="G70" i="7"/>
  <c r="T69" i="7"/>
  <c r="G69" i="7"/>
  <c r="V67" i="7"/>
  <c r="U67" i="7"/>
  <c r="T67" i="7"/>
  <c r="S67" i="7"/>
  <c r="Q67" i="7"/>
  <c r="M67" i="7"/>
  <c r="J67" i="7"/>
  <c r="H67" i="7"/>
  <c r="V66" i="7"/>
  <c r="U66" i="7"/>
  <c r="T66" i="7"/>
  <c r="S66" i="7"/>
  <c r="Q66" i="7"/>
  <c r="O66" i="7"/>
  <c r="M66" i="7"/>
  <c r="K66" i="7"/>
  <c r="J66" i="7"/>
  <c r="H66" i="7"/>
  <c r="F66" i="7"/>
  <c r="E66" i="7"/>
  <c r="L64" i="7"/>
  <c r="I64" i="7"/>
  <c r="G64" i="7"/>
  <c r="W64" i="7" s="1"/>
  <c r="I63" i="7"/>
  <c r="G63" i="7"/>
  <c r="W63" i="7" s="1"/>
  <c r="I62" i="7"/>
  <c r="G62" i="7"/>
  <c r="W62" i="7" s="1"/>
  <c r="L61" i="7"/>
  <c r="G61" i="7"/>
  <c r="W61" i="7" s="1"/>
  <c r="P60" i="7"/>
  <c r="L60" i="7"/>
  <c r="G60" i="7"/>
  <c r="W60" i="7" s="1"/>
  <c r="L59" i="7"/>
  <c r="G59" i="7"/>
  <c r="W59" i="7" s="1"/>
  <c r="P58" i="7"/>
  <c r="L58" i="7"/>
  <c r="I58" i="7"/>
  <c r="G58" i="7"/>
  <c r="W58" i="7" s="1"/>
  <c r="E58" i="7"/>
  <c r="E67" i="7" s="1"/>
  <c r="I57" i="7"/>
  <c r="G57" i="7"/>
  <c r="W57" i="7" s="1"/>
  <c r="I56" i="7"/>
  <c r="G56" i="7"/>
  <c r="W56" i="7" s="1"/>
  <c r="F67" i="7"/>
  <c r="L55" i="7"/>
  <c r="I55" i="7"/>
  <c r="G55" i="7"/>
  <c r="G54" i="7"/>
  <c r="W54" i="7" s="1"/>
  <c r="G53" i="7"/>
  <c r="W53" i="7" s="1"/>
  <c r="G52" i="7"/>
  <c r="W52" i="7" s="1"/>
  <c r="G51" i="7"/>
  <c r="W51" i="7" s="1"/>
  <c r="G50" i="7"/>
  <c r="W50" i="7" s="1"/>
  <c r="G49" i="7"/>
  <c r="G48" i="7"/>
  <c r="W48" i="7" s="1"/>
  <c r="V46" i="7"/>
  <c r="U46" i="7"/>
  <c r="T46" i="7"/>
  <c r="S46" i="7"/>
  <c r="Q46" i="7"/>
  <c r="M46" i="7"/>
  <c r="K46" i="7"/>
  <c r="J46" i="7"/>
  <c r="H46" i="7"/>
  <c r="F46" i="7"/>
  <c r="W45" i="7"/>
  <c r="U45" i="7"/>
  <c r="S45" i="7"/>
  <c r="Q45" i="7"/>
  <c r="O45" i="7"/>
  <c r="M45" i="7"/>
  <c r="J45" i="7"/>
  <c r="H45" i="7"/>
  <c r="F45" i="7"/>
  <c r="E45" i="7"/>
  <c r="AB43" i="7"/>
  <c r="I43" i="7"/>
  <c r="G43" i="7"/>
  <c r="O46" i="7"/>
  <c r="AB42" i="7"/>
  <c r="P42" i="7"/>
  <c r="L42" i="7"/>
  <c r="G42" i="7"/>
  <c r="I41" i="7"/>
  <c r="G41" i="7"/>
  <c r="W41" i="7" s="1"/>
  <c r="T40" i="7"/>
  <c r="K40" i="7"/>
  <c r="K45" i="7" s="1"/>
  <c r="T39" i="7"/>
  <c r="G39" i="7"/>
  <c r="G38" i="7"/>
  <c r="T38" i="7" s="1"/>
  <c r="V36" i="7"/>
  <c r="U36" i="7"/>
  <c r="T36" i="7"/>
  <c r="S36" i="7"/>
  <c r="O36" i="7"/>
  <c r="M36" i="7"/>
  <c r="J36" i="7"/>
  <c r="H36" i="7"/>
  <c r="F36" i="7"/>
  <c r="V35" i="7"/>
  <c r="U35" i="7"/>
  <c r="T35" i="7"/>
  <c r="S35" i="7"/>
  <c r="Q35" i="7"/>
  <c r="O35" i="7"/>
  <c r="M35" i="7"/>
  <c r="K35" i="7"/>
  <c r="J35" i="7"/>
  <c r="H35" i="7"/>
  <c r="F35" i="7"/>
  <c r="E35" i="7"/>
  <c r="K36" i="7"/>
  <c r="Q36" i="7"/>
  <c r="N16" i="7"/>
  <c r="U15" i="7"/>
  <c r="R15" i="7"/>
  <c r="Q15" i="7"/>
  <c r="N15" i="7"/>
  <c r="M15" i="7"/>
  <c r="J15" i="7"/>
  <c r="I15" i="7"/>
  <c r="H15" i="7"/>
  <c r="E15" i="7"/>
  <c r="Z24" i="7" l="1"/>
  <c r="Z25" i="7" s="1"/>
  <c r="Z26" i="7" s="1"/>
  <c r="Z27" i="7" s="1"/>
  <c r="Z28" i="7" s="1"/>
  <c r="Z29" i="7" s="1"/>
  <c r="Z30" i="7" s="1"/>
  <c r="Z31" i="7" s="1"/>
  <c r="Z32" i="7" s="1"/>
  <c r="Z33" i="7" s="1"/>
  <c r="Z41" i="7" s="1"/>
  <c r="Z42" i="7" s="1"/>
  <c r="Z43" i="7" s="1"/>
  <c r="Z55" i="7" s="1"/>
  <c r="Z56" i="7" s="1"/>
  <c r="Z57" i="7" s="1"/>
  <c r="Z58" i="7" s="1"/>
  <c r="Z59" i="7" s="1"/>
  <c r="Z60" i="7" s="1"/>
  <c r="Z61" i="7" s="1"/>
  <c r="Z62" i="7" s="1"/>
  <c r="Z63" i="7" s="1"/>
  <c r="Z64" i="7" s="1"/>
  <c r="Z75" i="7" s="1"/>
  <c r="E203" i="7"/>
  <c r="E17" i="7" s="1"/>
  <c r="E406" i="7"/>
  <c r="E473" i="7"/>
  <c r="W523" i="7"/>
  <c r="J17" i="7"/>
  <c r="T17" i="7"/>
  <c r="S17" i="7"/>
  <c r="G523" i="7"/>
  <c r="U17" i="7"/>
  <c r="Q492" i="7"/>
  <c r="G458" i="7"/>
  <c r="O15" i="7"/>
  <c r="S15" i="7"/>
  <c r="R16" i="7"/>
  <c r="T45" i="7"/>
  <c r="W15" i="7"/>
  <c r="G35" i="7"/>
  <c r="G200" i="7"/>
  <c r="W200" i="7" s="1"/>
  <c r="L170" i="7"/>
  <c r="I190" i="7"/>
  <c r="G455" i="7"/>
  <c r="G464" i="7"/>
  <c r="W348" i="7"/>
  <c r="G370" i="7"/>
  <c r="H505" i="7"/>
  <c r="H526" i="7" s="1"/>
  <c r="K230" i="7"/>
  <c r="G397" i="7"/>
  <c r="W397" i="7" s="1"/>
  <c r="G399" i="7"/>
  <c r="W399" i="7" s="1"/>
  <c r="A28" i="7"/>
  <c r="A29" i="7" s="1"/>
  <c r="A30" i="7" s="1"/>
  <c r="A31" i="7" s="1"/>
  <c r="A32" i="7" s="1"/>
  <c r="A33" i="7" s="1"/>
  <c r="A38" i="7" s="1"/>
  <c r="A39" i="7" s="1"/>
  <c r="A40" i="7" s="1"/>
  <c r="Q16" i="7"/>
  <c r="L16" i="7"/>
  <c r="P16" i="7"/>
  <c r="G156" i="7"/>
  <c r="W156" i="7" s="1"/>
  <c r="I174" i="7"/>
  <c r="G193" i="7"/>
  <c r="W193" i="7" s="1"/>
  <c r="V243" i="7"/>
  <c r="G290" i="7"/>
  <c r="G299" i="7"/>
  <c r="G343" i="7"/>
  <c r="W343" i="7" s="1"/>
  <c r="G344" i="7"/>
  <c r="W344" i="7" s="1"/>
  <c r="I386" i="7"/>
  <c r="L392" i="7"/>
  <c r="L393" i="7"/>
  <c r="G395" i="7"/>
  <c r="W395" i="7" s="1"/>
  <c r="G423" i="7"/>
  <c r="W423" i="7" s="1"/>
  <c r="M16" i="7"/>
  <c r="I16" i="7"/>
  <c r="H16" i="7"/>
  <c r="U16" i="7"/>
  <c r="W286" i="7"/>
  <c r="W290" i="7" s="1"/>
  <c r="AB290" i="7" s="1"/>
  <c r="F302" i="7"/>
  <c r="L384" i="7"/>
  <c r="G388" i="7"/>
  <c r="W388" i="7" s="1"/>
  <c r="F525" i="7"/>
  <c r="M525" i="7"/>
  <c r="T525" i="7"/>
  <c r="E16" i="7"/>
  <c r="V39" i="7"/>
  <c r="G46" i="7"/>
  <c r="G66" i="7"/>
  <c r="V244" i="7"/>
  <c r="G382" i="7"/>
  <c r="G418" i="7"/>
  <c r="I423" i="7"/>
  <c r="T492" i="7"/>
  <c r="G504" i="7"/>
  <c r="G30" i="7"/>
  <c r="W30" i="7" s="1"/>
  <c r="O16" i="7"/>
  <c r="I299" i="7"/>
  <c r="N341" i="7"/>
  <c r="N349" i="7" s="1"/>
  <c r="N17" i="7" s="1"/>
  <c r="E405" i="7"/>
  <c r="G467" i="7"/>
  <c r="W467" i="7" s="1"/>
  <c r="J492" i="7"/>
  <c r="V492" i="7"/>
  <c r="S16" i="7"/>
  <c r="J16" i="7"/>
  <c r="H203" i="7"/>
  <c r="H230" i="7"/>
  <c r="M406" i="7"/>
  <c r="T406" i="7"/>
  <c r="H405" i="7"/>
  <c r="G421" i="7"/>
  <c r="W421" i="7" s="1"/>
  <c r="W461" i="7"/>
  <c r="H472" i="7"/>
  <c r="G484" i="7"/>
  <c r="V347" i="7"/>
  <c r="V15" i="7" s="1"/>
  <c r="O356" i="7"/>
  <c r="F406" i="7"/>
  <c r="U406" i="7"/>
  <c r="Q472" i="7"/>
  <c r="Q473" i="7"/>
  <c r="V70" i="7"/>
  <c r="I85" i="7"/>
  <c r="G158" i="7"/>
  <c r="G167" i="7"/>
  <c r="W167" i="7" s="1"/>
  <c r="L222" i="7"/>
  <c r="L223" i="7"/>
  <c r="T283" i="7"/>
  <c r="H298" i="7"/>
  <c r="O349" i="7"/>
  <c r="G339" i="7"/>
  <c r="W339" i="7" s="1"/>
  <c r="G345" i="7"/>
  <c r="W345" i="7" s="1"/>
  <c r="AB356" i="7"/>
  <c r="G402" i="7"/>
  <c r="G387" i="7"/>
  <c r="W387" i="7" s="1"/>
  <c r="I396" i="7"/>
  <c r="G398" i="7"/>
  <c r="W398" i="7" s="1"/>
  <c r="F405" i="7"/>
  <c r="I421" i="7"/>
  <c r="V459" i="7"/>
  <c r="F472" i="7"/>
  <c r="O472" i="7"/>
  <c r="G466" i="7"/>
  <c r="W466" i="7" s="1"/>
  <c r="U473" i="7"/>
  <c r="K492" i="7"/>
  <c r="S492" i="7"/>
  <c r="I489" i="7"/>
  <c r="I492" i="7" s="1"/>
  <c r="I505" i="7"/>
  <c r="I526" i="7" s="1"/>
  <c r="P505" i="7"/>
  <c r="P526" i="7" s="1"/>
  <c r="K525" i="7"/>
  <c r="S525" i="7"/>
  <c r="G539" i="7"/>
  <c r="G542" i="7" s="1"/>
  <c r="G29" i="7"/>
  <c r="W29" i="7" s="1"/>
  <c r="V38" i="7"/>
  <c r="O203" i="7"/>
  <c r="F203" i="7"/>
  <c r="Q203" i="7"/>
  <c r="M213" i="7"/>
  <c r="G283" i="7"/>
  <c r="W283" i="7"/>
  <c r="W296" i="7"/>
  <c r="AB296" i="7" s="1"/>
  <c r="G348" i="7"/>
  <c r="K349" i="7"/>
  <c r="J406" i="7"/>
  <c r="Q406" i="7"/>
  <c r="V406" i="7"/>
  <c r="O403" i="7"/>
  <c r="G391" i="7"/>
  <c r="W391" i="7" s="1"/>
  <c r="K405" i="7"/>
  <c r="S406" i="7"/>
  <c r="T463" i="7"/>
  <c r="T472" i="7" s="1"/>
  <c r="E472" i="7"/>
  <c r="M472" i="7"/>
  <c r="U472" i="7"/>
  <c r="R473" i="7"/>
  <c r="T473" i="7"/>
  <c r="G522" i="7"/>
  <c r="G525" i="7" s="1"/>
  <c r="E525" i="7"/>
  <c r="J525" i="7"/>
  <c r="Q525" i="7"/>
  <c r="V525" i="7"/>
  <c r="K67" i="7"/>
  <c r="G84" i="7"/>
  <c r="T84" i="7"/>
  <c r="F202" i="7"/>
  <c r="F16" i="7" s="1"/>
  <c r="K203" i="7"/>
  <c r="I158" i="7"/>
  <c r="I189" i="7"/>
  <c r="Q213" i="7"/>
  <c r="K213" i="7"/>
  <c r="L230" i="7"/>
  <c r="H349" i="7"/>
  <c r="P352" i="7"/>
  <c r="G369" i="7"/>
  <c r="G400" i="7"/>
  <c r="W400" i="7" s="1"/>
  <c r="K472" i="7"/>
  <c r="J472" i="7"/>
  <c r="S472" i="7"/>
  <c r="J473" i="7"/>
  <c r="S473" i="7"/>
  <c r="G483" i="7"/>
  <c r="G491" i="7" s="1"/>
  <c r="U492" i="7"/>
  <c r="W495" i="7"/>
  <c r="W504" i="7" s="1"/>
  <c r="G505" i="7"/>
  <c r="G526" i="7" s="1"/>
  <c r="L505" i="7"/>
  <c r="L526" i="7" s="1"/>
  <c r="H525" i="7"/>
  <c r="O525" i="7"/>
  <c r="U525" i="7"/>
  <c r="U553" i="7"/>
  <c r="U557" i="7" s="1"/>
  <c r="K16" i="7"/>
  <c r="I182" i="7"/>
  <c r="G182" i="7"/>
  <c r="W182" i="7" s="1"/>
  <c r="W205" i="7"/>
  <c r="W212" i="7" s="1"/>
  <c r="G212" i="7"/>
  <c r="H213" i="7"/>
  <c r="I208" i="7"/>
  <c r="I230" i="7"/>
  <c r="W230" i="7"/>
  <c r="AB230" i="7" s="1"/>
  <c r="W35" i="7"/>
  <c r="G40" i="7"/>
  <c r="V40" i="7" s="1"/>
  <c r="W49" i="7"/>
  <c r="W66" i="7" s="1"/>
  <c r="W55" i="7"/>
  <c r="H85" i="7"/>
  <c r="G93" i="7"/>
  <c r="G201" i="7" s="1"/>
  <c r="O213" i="7"/>
  <c r="I179" i="7"/>
  <c r="G179" i="7"/>
  <c r="W179" i="7" s="1"/>
  <c r="I209" i="7"/>
  <c r="F213" i="7"/>
  <c r="L209" i="7"/>
  <c r="W46" i="7"/>
  <c r="AB46" i="7" s="1"/>
  <c r="V69" i="7"/>
  <c r="V71" i="7"/>
  <c r="L85" i="7"/>
  <c r="K85" i="7"/>
  <c r="L155" i="7"/>
  <c r="G155" i="7"/>
  <c r="L172" i="7"/>
  <c r="G172" i="7"/>
  <c r="W172" i="7" s="1"/>
  <c r="L197" i="7"/>
  <c r="G197" i="7"/>
  <c r="W197" i="7" s="1"/>
  <c r="V248" i="7"/>
  <c r="G284" i="7"/>
  <c r="W131" i="7"/>
  <c r="W202" i="7" s="1"/>
  <c r="G202" i="7"/>
  <c r="W84" i="7"/>
  <c r="G298" i="7"/>
  <c r="G302" i="7" s="1"/>
  <c r="I298" i="7"/>
  <c r="V440" i="7"/>
  <c r="L163" i="7"/>
  <c r="L164" i="7"/>
  <c r="I171" i="7"/>
  <c r="L208" i="7"/>
  <c r="G347" i="7"/>
  <c r="W369" i="7"/>
  <c r="AB419" i="7"/>
  <c r="N473" i="7"/>
  <c r="W254" i="7"/>
  <c r="W284" i="7" s="1"/>
  <c r="AB284" i="7" s="1"/>
  <c r="G296" i="7"/>
  <c r="G356" i="7"/>
  <c r="G463" i="7"/>
  <c r="W464" i="7"/>
  <c r="AB464" i="7" s="1"/>
  <c r="F473" i="7"/>
  <c r="I337" i="7"/>
  <c r="P337" i="7"/>
  <c r="P349" i="7" s="1"/>
  <c r="G338" i="7"/>
  <c r="W338" i="7" s="1"/>
  <c r="I339" i="7"/>
  <c r="G340" i="7"/>
  <c r="W340" i="7" s="1"/>
  <c r="G341" i="7"/>
  <c r="W341" i="7" s="1"/>
  <c r="I344" i="7"/>
  <c r="I345" i="7"/>
  <c r="L353" i="7"/>
  <c r="W358" i="7"/>
  <c r="W361" i="7" s="1"/>
  <c r="AB361" i="7" s="1"/>
  <c r="W382" i="7"/>
  <c r="I385" i="7"/>
  <c r="G390" i="7"/>
  <c r="W390" i="7" s="1"/>
  <c r="L394" i="7"/>
  <c r="K422" i="7"/>
  <c r="L422" i="7" s="1"/>
  <c r="L433" i="7" s="1"/>
  <c r="I426" i="7"/>
  <c r="I427" i="7"/>
  <c r="W435" i="7"/>
  <c r="W438" i="7" s="1"/>
  <c r="AB438" i="7" s="1"/>
  <c r="I440" i="7"/>
  <c r="G441" i="7"/>
  <c r="V441" i="7" s="1"/>
  <c r="G443" i="7"/>
  <c r="V443" i="7" s="1"/>
  <c r="H446" i="7"/>
  <c r="W451" i="7"/>
  <c r="W456" i="7" s="1"/>
  <c r="AB456" i="7" s="1"/>
  <c r="O456" i="7"/>
  <c r="V458" i="7"/>
  <c r="V463" i="7" s="1"/>
  <c r="L464" i="7"/>
  <c r="I466" i="7"/>
  <c r="I467" i="7"/>
  <c r="H470" i="7"/>
  <c r="W476" i="7"/>
  <c r="W483" i="7" s="1"/>
  <c r="W491" i="7" s="1"/>
  <c r="L489" i="7"/>
  <c r="L492" i="7" s="1"/>
  <c r="R489" i="7"/>
  <c r="R17" i="7" s="1"/>
  <c r="H489" i="7"/>
  <c r="H492" i="7" s="1"/>
  <c r="K356" i="7"/>
  <c r="AB370" i="7"/>
  <c r="G383" i="7"/>
  <c r="W383" i="7" s="1"/>
  <c r="G389" i="7"/>
  <c r="W389" i="7" s="1"/>
  <c r="K403" i="7"/>
  <c r="W409" i="7"/>
  <c r="W412" i="7" s="1"/>
  <c r="AB412" i="7" s="1"/>
  <c r="G419" i="7"/>
  <c r="K464" i="7"/>
  <c r="M470" i="7"/>
  <c r="O489" i="7"/>
  <c r="O492" i="7" s="1"/>
  <c r="G337" i="7"/>
  <c r="L337" i="7"/>
  <c r="L349" i="7" s="1"/>
  <c r="W372" i="7"/>
  <c r="W402" i="7" s="1"/>
  <c r="W414" i="7"/>
  <c r="W418" i="7" s="1"/>
  <c r="W472" i="7" s="1"/>
  <c r="H422" i="7"/>
  <c r="H433" i="7" s="1"/>
  <c r="O422" i="7"/>
  <c r="P422" i="7" s="1"/>
  <c r="P433" i="7" s="1"/>
  <c r="P473" i="7" s="1"/>
  <c r="V448" i="7"/>
  <c r="V455" i="7" s="1"/>
  <c r="W479" i="7"/>
  <c r="W484" i="7" s="1"/>
  <c r="AB484" i="7" s="1"/>
  <c r="W507" i="7"/>
  <c r="W522" i="7" s="1"/>
  <c r="V538" i="7"/>
  <c r="V540" i="7" s="1"/>
  <c r="V543" i="7" s="1"/>
  <c r="W208" i="7" l="1"/>
  <c r="W213" i="7" s="1"/>
  <c r="AB213" i="7" s="1"/>
  <c r="Q17" i="7"/>
  <c r="M17" i="7"/>
  <c r="P17" i="7"/>
  <c r="F17" i="7"/>
  <c r="F553" i="7" s="1"/>
  <c r="F557" i="7" s="1"/>
  <c r="L17" i="7"/>
  <c r="O406" i="7"/>
  <c r="Z76" i="7"/>
  <c r="Z77" i="7" s="1"/>
  <c r="Z78" i="7" s="1"/>
  <c r="Z79" i="7" s="1"/>
  <c r="Z80" i="7" s="1"/>
  <c r="Z81" i="7" s="1"/>
  <c r="Z82" i="7" s="1"/>
  <c r="N553" i="7"/>
  <c r="N557" i="7" s="1"/>
  <c r="J553" i="7"/>
  <c r="J557" i="7" s="1"/>
  <c r="W505" i="7"/>
  <c r="W526" i="7" s="1"/>
  <c r="W36" i="7"/>
  <c r="G470" i="7"/>
  <c r="V45" i="7"/>
  <c r="A41" i="7"/>
  <c r="A42" i="7" s="1"/>
  <c r="A43" i="7" s="1"/>
  <c r="A48" i="7" s="1"/>
  <c r="A49" i="7" s="1"/>
  <c r="T16" i="7"/>
  <c r="T553" i="7" s="1"/>
  <c r="T557" i="7" s="1"/>
  <c r="W470" i="7"/>
  <c r="AB470" i="7" s="1"/>
  <c r="E553" i="7"/>
  <c r="E557" i="7" s="1"/>
  <c r="G472" i="7"/>
  <c r="V283" i="7"/>
  <c r="S553" i="7"/>
  <c r="S557" i="7" s="1"/>
  <c r="W405" i="7"/>
  <c r="W403" i="7"/>
  <c r="Q553" i="7"/>
  <c r="Q557" i="7" s="1"/>
  <c r="G15" i="7"/>
  <c r="W85" i="7"/>
  <c r="AB85" i="7" s="1"/>
  <c r="H302" i="7"/>
  <c r="V298" i="7"/>
  <c r="V302" i="7" s="1"/>
  <c r="G456" i="7"/>
  <c r="W525" i="7"/>
  <c r="G230" i="7"/>
  <c r="G405" i="7"/>
  <c r="H403" i="7"/>
  <c r="L473" i="7"/>
  <c r="M473" i="7"/>
  <c r="M553" i="7"/>
  <c r="M557" i="7" s="1"/>
  <c r="W489" i="7"/>
  <c r="AB489" i="7" s="1"/>
  <c r="G489" i="7"/>
  <c r="G492" i="7" s="1"/>
  <c r="G203" i="7"/>
  <c r="W155" i="7"/>
  <c r="W203" i="7" s="1"/>
  <c r="AB203" i="7" s="1"/>
  <c r="K406" i="7"/>
  <c r="V446" i="7"/>
  <c r="V84" i="7"/>
  <c r="G45" i="7"/>
  <c r="G16" i="7" s="1"/>
  <c r="G36" i="7"/>
  <c r="G422" i="7"/>
  <c r="I422" i="7"/>
  <c r="I433" i="7" s="1"/>
  <c r="I473" i="7" s="1"/>
  <c r="O433" i="7"/>
  <c r="O473" i="7" s="1"/>
  <c r="G446" i="7"/>
  <c r="W16" i="7"/>
  <c r="G85" i="7"/>
  <c r="G349" i="7"/>
  <c r="W337" i="7"/>
  <c r="W349" i="7" s="1"/>
  <c r="AB349" i="7" s="1"/>
  <c r="R492" i="7"/>
  <c r="R553" i="7"/>
  <c r="R557" i="7" s="1"/>
  <c r="G213" i="7"/>
  <c r="H473" i="7"/>
  <c r="V472" i="7"/>
  <c r="I349" i="7"/>
  <c r="I17" i="7" s="1"/>
  <c r="G403" i="7"/>
  <c r="L553" i="7"/>
  <c r="L557" i="7" s="1"/>
  <c r="O67" i="7"/>
  <c r="O17" i="7" s="1"/>
  <c r="P553" i="7"/>
  <c r="P557" i="7" s="1"/>
  <c r="K433" i="7"/>
  <c r="K17" i="7" s="1"/>
  <c r="Z155" i="7" l="1"/>
  <c r="Z156" i="7" s="1"/>
  <c r="Z157" i="7" s="1"/>
  <c r="Z158" i="7" s="1"/>
  <c r="Z159" i="7" s="1"/>
  <c r="Z160" i="7" s="1"/>
  <c r="Z161" i="7" s="1"/>
  <c r="Z162" i="7" s="1"/>
  <c r="Z163" i="7" s="1"/>
  <c r="Z164" i="7" s="1"/>
  <c r="Z165" i="7" s="1"/>
  <c r="Z166" i="7" s="1"/>
  <c r="Z167" i="7" s="1"/>
  <c r="Z168" i="7" s="1"/>
  <c r="Z169" i="7" s="1"/>
  <c r="Z170" i="7" s="1"/>
  <c r="Z171" i="7" s="1"/>
  <c r="Z172" i="7" s="1"/>
  <c r="Z173" i="7" s="1"/>
  <c r="Z174" i="7" s="1"/>
  <c r="Z175" i="7" s="1"/>
  <c r="Z176" i="7" s="1"/>
  <c r="Z177" i="7" s="1"/>
  <c r="Z178" i="7" s="1"/>
  <c r="Z179" i="7" s="1"/>
  <c r="Z180" i="7" s="1"/>
  <c r="Z181" i="7" s="1"/>
  <c r="Z182" i="7" s="1"/>
  <c r="Z183" i="7" s="1"/>
  <c r="Z184" i="7" s="1"/>
  <c r="Z185" i="7" s="1"/>
  <c r="Z186" i="7" s="1"/>
  <c r="Z187" i="7" s="1"/>
  <c r="Z188" i="7" s="1"/>
  <c r="Z189" i="7" s="1"/>
  <c r="Z190" i="7" s="1"/>
  <c r="Z191" i="7" s="1"/>
  <c r="Z192" i="7" s="1"/>
  <c r="Z193" i="7" s="1"/>
  <c r="Z194" i="7" s="1"/>
  <c r="Z195" i="7" s="1"/>
  <c r="Z196" i="7" s="1"/>
  <c r="Z197" i="7" s="1"/>
  <c r="Z198" i="7" s="1"/>
  <c r="Z199" i="7" s="1"/>
  <c r="Z200" i="7" s="1"/>
  <c r="V17" i="7"/>
  <c r="H406" i="7"/>
  <c r="H17" i="7"/>
  <c r="H553" i="7" s="1"/>
  <c r="H557" i="7" s="1"/>
  <c r="G406" i="7"/>
  <c r="I553" i="7"/>
  <c r="I557" i="7" s="1"/>
  <c r="V16" i="7"/>
  <c r="AB505" i="7"/>
  <c r="AB302" i="7"/>
  <c r="AB36" i="7"/>
  <c r="K553" i="7"/>
  <c r="K557" i="7" s="1"/>
  <c r="W492" i="7"/>
  <c r="AB492" i="7" s="1"/>
  <c r="A50" i="7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9" i="7" s="1"/>
  <c r="A70" i="7" s="1"/>
  <c r="A71" i="7" s="1"/>
  <c r="A72" i="7" s="1"/>
  <c r="A73" i="7" s="1"/>
  <c r="A74" i="7" s="1"/>
  <c r="A75" i="7" s="1"/>
  <c r="AB526" i="7"/>
  <c r="W67" i="7"/>
  <c r="G67" i="7"/>
  <c r="W422" i="7"/>
  <c r="W433" i="7" s="1"/>
  <c r="G433" i="7"/>
  <c r="G473" i="7" s="1"/>
  <c r="W406" i="7"/>
  <c r="AB406" i="7" s="1"/>
  <c r="AB403" i="7"/>
  <c r="K473" i="7"/>
  <c r="AB446" i="7"/>
  <c r="V473" i="7"/>
  <c r="O553" i="7"/>
  <c r="O557" i="7" s="1"/>
  <c r="G17" i="7" l="1"/>
  <c r="W17" i="7"/>
  <c r="G562" i="7"/>
  <c r="W553" i="7"/>
  <c r="W557" i="7" s="1"/>
  <c r="A76" i="7"/>
  <c r="A77" i="7" s="1"/>
  <c r="A78" i="7" s="1"/>
  <c r="A79" i="7" s="1"/>
  <c r="A80" i="7" s="1"/>
  <c r="A81" i="7" s="1"/>
  <c r="A82" i="7" s="1"/>
  <c r="A87" i="7" s="1"/>
  <c r="A88" i="7" s="1"/>
  <c r="V553" i="7"/>
  <c r="V557" i="7" s="1"/>
  <c r="AB433" i="7"/>
  <c r="W473" i="7"/>
  <c r="AB473" i="7" s="1"/>
  <c r="AB67" i="7"/>
  <c r="G553" i="7" l="1"/>
  <c r="G557" i="7" s="1"/>
  <c r="A89" i="7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B17" i="7"/>
  <c r="A161" i="7" l="1"/>
  <c r="A162" i="7" s="1"/>
  <c r="A163" i="7" s="1"/>
  <c r="A164" i="7" s="1"/>
  <c r="A165" i="7" s="1"/>
  <c r="A166" i="7" s="1"/>
  <c r="A167" i="7" s="1"/>
  <c r="Z208" i="7" l="1"/>
  <c r="Z209" i="7" s="1"/>
  <c r="Z210" i="7" s="1"/>
  <c r="Z215" i="7" s="1"/>
  <c r="Z216" i="7" s="1"/>
  <c r="Z217" i="7" s="1"/>
  <c r="Z218" i="7" s="1"/>
  <c r="Z219" i="7" s="1"/>
  <c r="Z220" i="7" s="1"/>
  <c r="Z221" i="7" s="1"/>
  <c r="Z222" i="7" s="1"/>
  <c r="Z223" i="7" s="1"/>
  <c r="Z224" i="7" s="1"/>
  <c r="Z225" i="7" s="1"/>
  <c r="Z226" i="7" s="1"/>
  <c r="Z227" i="7" s="1"/>
  <c r="A168" i="7"/>
  <c r="A169" i="7" s="1"/>
  <c r="A170" i="7" s="1"/>
  <c r="A171" i="7" s="1"/>
  <c r="A172" i="7" s="1"/>
  <c r="Z254" i="7" l="1"/>
  <c r="Z255" i="7" s="1"/>
  <c r="A173" i="7"/>
  <c r="A174" i="7" s="1"/>
  <c r="A175" i="7" s="1"/>
  <c r="A176" i="7" s="1"/>
  <c r="A177" i="7" s="1"/>
  <c r="Z256" i="7" l="1"/>
  <c r="Z257" i="7" s="1"/>
  <c r="Z258" i="7" s="1"/>
  <c r="Z259" i="7" s="1"/>
  <c r="Z260" i="7" s="1"/>
  <c r="Z261" i="7" s="1"/>
  <c r="Z262" i="7" s="1"/>
  <c r="Z263" i="7" s="1"/>
  <c r="Z264" i="7" s="1"/>
  <c r="Z265" i="7" s="1"/>
  <c r="Z266" i="7" s="1"/>
  <c r="Z267" i="7" s="1"/>
  <c r="Z268" i="7" s="1"/>
  <c r="Z269" i="7" s="1"/>
  <c r="Z270" i="7" s="1"/>
  <c r="Z271" i="7" s="1"/>
  <c r="Z272" i="7" s="1"/>
  <c r="Z273" i="7" s="1"/>
  <c r="Z274" i="7" s="1"/>
  <c r="Z275" i="7" s="1"/>
  <c r="Z276" i="7" s="1"/>
  <c r="Z277" i="7" s="1"/>
  <c r="Z278" i="7" s="1"/>
  <c r="Z279" i="7" s="1"/>
  <c r="Z280" i="7" s="1"/>
  <c r="Z281" i="7" s="1"/>
  <c r="Z286" i="7" s="1"/>
  <c r="Z287" i="7" s="1"/>
  <c r="Z292" i="7" s="1"/>
  <c r="Z293" i="7" s="1"/>
  <c r="Z298" i="7" s="1"/>
  <c r="Z299" i="7" s="1"/>
  <c r="Z337" i="7" s="1"/>
  <c r="Z338" i="7" s="1"/>
  <c r="Z339" i="7" s="1"/>
  <c r="Z340" i="7" s="1"/>
  <c r="Z341" i="7" s="1"/>
  <c r="Z342" i="7" s="1"/>
  <c r="Z343" i="7" s="1"/>
  <c r="Z344" i="7" s="1"/>
  <c r="Z345" i="7" s="1"/>
  <c r="Z346" i="7" s="1"/>
  <c r="Z352" i="7" s="1"/>
  <c r="Z353" i="7" s="1"/>
  <c r="Z358" i="7" s="1"/>
  <c r="Z367" i="7" s="1"/>
  <c r="Z382" i="7" s="1"/>
  <c r="Z383" i="7" s="1"/>
  <c r="Z384" i="7" s="1"/>
  <c r="Z385" i="7" s="1"/>
  <c r="Z386" i="7" s="1"/>
  <c r="Z387" i="7" s="1"/>
  <c r="Z388" i="7" s="1"/>
  <c r="Z389" i="7" s="1"/>
  <c r="Z390" i="7" s="1"/>
  <c r="Z391" i="7" s="1"/>
  <c r="Z392" i="7" s="1"/>
  <c r="Z393" i="7" s="1"/>
  <c r="Z394" i="7" s="1"/>
  <c r="Z395" i="7" s="1"/>
  <c r="Z396" i="7" s="1"/>
  <c r="Z397" i="7" s="1"/>
  <c r="Z398" i="7" s="1"/>
  <c r="Z399" i="7" s="1"/>
  <c r="Z400" i="7" s="1"/>
  <c r="A178" i="7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Z409" i="7" l="1"/>
  <c r="Z416" i="7" s="1"/>
  <c r="Z421" i="7" s="1"/>
  <c r="Z422" i="7" s="1"/>
  <c r="A196" i="7"/>
  <c r="A197" i="7" s="1"/>
  <c r="Z423" i="7" l="1"/>
  <c r="Z424" i="7" s="1"/>
  <c r="Z425" i="7" s="1"/>
  <c r="Z426" i="7" s="1"/>
  <c r="Z427" i="7" s="1"/>
  <c r="Z428" i="7" s="1"/>
  <c r="Z429" i="7" s="1"/>
  <c r="Z430" i="7" s="1"/>
  <c r="Z435" i="7" s="1"/>
  <c r="Z440" i="7" s="1"/>
  <c r="Z441" i="7" s="1"/>
  <c r="A198" i="7"/>
  <c r="A199" i="7" s="1"/>
  <c r="A200" i="7" s="1"/>
  <c r="A205" i="7" s="1"/>
  <c r="A206" i="7" s="1"/>
  <c r="A207" i="7" s="1"/>
  <c r="A208" i="7" s="1"/>
  <c r="A209" i="7" s="1"/>
  <c r="A210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6" i="7" s="1"/>
  <c r="A287" i="7" s="1"/>
  <c r="A292" i="7" s="1"/>
  <c r="A293" i="7" s="1"/>
  <c r="A298" i="7" s="1"/>
  <c r="A299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52" i="7" s="1"/>
  <c r="A353" i="7" s="1"/>
  <c r="A358" i="7" s="1"/>
  <c r="A363" i="7" s="1"/>
  <c r="A364" i="7" s="1"/>
  <c r="A365" i="7" s="1"/>
  <c r="A366" i="7" s="1"/>
  <c r="A367" i="7" s="1"/>
  <c r="A372" i="7" s="1"/>
  <c r="A373" i="7" s="1"/>
  <c r="A374" i="7" s="1"/>
  <c r="A375" i="7" s="1"/>
  <c r="A376" i="7" s="1"/>
  <c r="A377" i="7" s="1"/>
  <c r="A378" i="7" s="1"/>
  <c r="A379" i="7" s="1"/>
  <c r="A380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9" i="7" s="1"/>
  <c r="A414" i="7" s="1"/>
  <c r="A415" i="7" s="1"/>
  <c r="A416" i="7" s="1"/>
  <c r="A421" i="7" s="1"/>
  <c r="A422" i="7" s="1"/>
  <c r="A423" i="7" s="1"/>
  <c r="Z442" i="7" l="1"/>
  <c r="Z443" i="7" s="1"/>
  <c r="Z451" i="7" s="1"/>
  <c r="Z452" i="7" s="1"/>
  <c r="Z453" i="7" s="1"/>
  <c r="Z461" i="7" s="1"/>
  <c r="Z466" i="7" s="1"/>
  <c r="Z467" i="7" s="1"/>
  <c r="Z479" i="7" s="1"/>
  <c r="Z480" i="7" s="1"/>
  <c r="Z481" i="7" s="1"/>
  <c r="Z486" i="7" s="1"/>
  <c r="Z498" i="7" s="1"/>
  <c r="Z499" i="7" s="1"/>
  <c r="A424" i="7"/>
  <c r="A425" i="7" s="1"/>
  <c r="A426" i="7" s="1"/>
  <c r="A427" i="7" s="1"/>
  <c r="A428" i="7" s="1"/>
  <c r="A429" i="7" s="1"/>
  <c r="A430" i="7" s="1"/>
  <c r="A435" i="7" s="1"/>
  <c r="A440" i="7" s="1"/>
  <c r="A441" i="7" s="1"/>
  <c r="A442" i="7" s="1"/>
  <c r="A443" i="7" s="1"/>
  <c r="A448" i="7" s="1"/>
  <c r="A449" i="7" s="1"/>
  <c r="A450" i="7" s="1"/>
  <c r="A451" i="7" s="1"/>
  <c r="A452" i="7" s="1"/>
  <c r="A453" i="7" s="1"/>
  <c r="A458" i="7" s="1"/>
  <c r="A459" i="7" s="1"/>
  <c r="A460" i="7" s="1"/>
  <c r="A461" i="7" s="1"/>
  <c r="A466" i="7" s="1"/>
  <c r="A467" i="7" s="1"/>
  <c r="A476" i="7" s="1"/>
  <c r="A477" i="7" s="1"/>
  <c r="A478" i="7" s="1"/>
  <c r="A479" i="7" s="1"/>
  <c r="A480" i="7" s="1"/>
  <c r="A481" i="7" s="1"/>
  <c r="A486" i="7" s="1"/>
  <c r="A495" i="7" s="1"/>
  <c r="A496" i="7" s="1"/>
  <c r="A497" i="7" s="1"/>
  <c r="Z500" i="7" l="1"/>
  <c r="Z501" i="7" s="1"/>
  <c r="Z502" i="7" s="1"/>
  <c r="Z518" i="7" s="1"/>
  <c r="Z519" i="7" s="1"/>
  <c r="Z520" i="7" s="1"/>
  <c r="A498" i="7"/>
  <c r="A499" i="7" s="1"/>
  <c r="A500" i="7" s="1"/>
  <c r="A501" i="7" s="1"/>
  <c r="A502" i="7" s="1"/>
  <c r="A507" i="7" s="1"/>
  <c r="A508" i="7" s="1"/>
  <c r="A509" i="7" l="1"/>
  <c r="A510" i="7" s="1"/>
  <c r="A511" i="7" s="1"/>
  <c r="A512" i="7" s="1"/>
  <c r="A513" i="7" s="1"/>
  <c r="A514" i="7" s="1"/>
  <c r="A515" i="7" s="1"/>
  <c r="A516" i="7" s="1"/>
  <c r="A517" i="7" s="1"/>
  <c r="A518" i="7" l="1"/>
  <c r="A519" i="7" s="1"/>
  <c r="A520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</calcChain>
</file>

<file path=xl/comments1.xml><?xml version="1.0" encoding="utf-8"?>
<comments xmlns="http://schemas.openxmlformats.org/spreadsheetml/2006/main">
  <authors>
    <author>nijelskaya</author>
    <author>Дмитрий</author>
  </authors>
  <commentList>
    <comment ref="B157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работы по замене теплообменника сделаны в конце 2015 года.</t>
        </r>
      </text>
    </comment>
    <comment ref="B158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работы выполнены МКУ УКС в рамках муниц программы за чет средств местного бюджета
</t>
        </r>
      </text>
    </comment>
    <comment ref="B168" authorId="1">
      <text>
        <r>
          <rPr>
            <b/>
            <sz val="9"/>
            <color indexed="81"/>
            <rFont val="Tahoma"/>
            <family val="2"/>
            <charset val="204"/>
          </rPr>
          <t>сдан 22.12.2016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73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работы по замене теплообменника сделаны в конце 2015 года.</t>
        </r>
      </text>
    </comment>
    <comment ref="B174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работы по замене теплообменника сделаны в конце 2015 года.
</t>
        </r>
      </text>
    </comment>
    <comment ref="B178" authorId="1">
      <text>
        <r>
          <rPr>
            <b/>
            <sz val="9"/>
            <color indexed="81"/>
            <rFont val="Tahoma"/>
            <family val="2"/>
            <charset val="204"/>
          </rPr>
          <t>сдан 16.12.2016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96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работы по замене теплообменника сделаны в конце 2015 года.
</t>
        </r>
      </text>
    </comment>
    <comment ref="B199" authorId="1">
      <text>
        <r>
          <rPr>
            <b/>
            <sz val="9"/>
            <color indexed="81"/>
            <rFont val="Tahoma"/>
            <family val="2"/>
            <charset val="204"/>
          </rPr>
          <t>сдан 28.12.2016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519" authorId="0">
      <text>
        <r>
          <rPr>
            <b/>
            <sz val="8"/>
            <color indexed="81"/>
            <rFont val="Tahoma"/>
            <family val="2"/>
            <charset val="204"/>
          </rPr>
          <t>nijelskaya:</t>
        </r>
        <r>
          <rPr>
            <sz val="8"/>
            <color indexed="81"/>
            <rFont val="Tahoma"/>
            <family val="2"/>
            <charset val="204"/>
          </rPr>
          <t xml:space="preserve">
29.02.2016 №85-ПП была S - 417,6 м2; 01.06.2016 №262-ПП S стала 383,5 м2; сейчас сделали такой же как и в 85-ПП</t>
        </r>
      </text>
    </comment>
  </commentList>
</comments>
</file>

<file path=xl/sharedStrings.xml><?xml version="1.0" encoding="utf-8"?>
<sst xmlns="http://schemas.openxmlformats.org/spreadsheetml/2006/main" count="876" uniqueCount="528">
  <si>
    <t>№ п/п</t>
  </si>
  <si>
    <t>Адрес МКД</t>
  </si>
  <si>
    <t>Год ввода в эксплуатацию</t>
  </si>
  <si>
    <t>Общая площадь МКД, всего</t>
  </si>
  <si>
    <t>Всего: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</si>
  <si>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</si>
  <si>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</si>
  <si>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</si>
  <si>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</si>
  <si>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</si>
  <si>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</si>
  <si>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В том числе:</t>
  </si>
  <si>
    <t>За счет средств местного бюджета</t>
  </si>
  <si>
    <t>кв.м</t>
  </si>
  <si>
    <t>руб.</t>
  </si>
  <si>
    <t>1</t>
  </si>
  <si>
    <t>2</t>
  </si>
  <si>
    <t>3</t>
  </si>
  <si>
    <t>г. Кировск, пр. Ленина, д. 7</t>
  </si>
  <si>
    <t>1959</t>
  </si>
  <si>
    <t>1958</t>
  </si>
  <si>
    <t>1977</t>
  </si>
  <si>
    <t>г. Мурманск, ул. Привокзальная, д. 16</t>
  </si>
  <si>
    <t>г. Мурманск, ул. Пушкинская, д. 5</t>
  </si>
  <si>
    <t>1984</t>
  </si>
  <si>
    <t>1980</t>
  </si>
  <si>
    <t>За счет средств федерального бюджета</t>
  </si>
  <si>
    <t>г. Мончегорск, ул. Советская, д. 13</t>
  </si>
  <si>
    <t xml:space="preserve">г. Мончегорск, ул. Гагарина, д. 14а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</si>
  <si>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г. Кировск, пр. Ленина, д. 21а</t>
  </si>
  <si>
    <t>г. Полярный, ул. Красный Горн,  д. 17</t>
  </si>
  <si>
    <t>г. Полярный, ул. Красный Горн,  д. 9</t>
  </si>
  <si>
    <t>г. Полярный, ул. Героев Тумана,  д. 6</t>
  </si>
  <si>
    <t>г. Полярный, ул. Сивко,  д. 12</t>
  </si>
  <si>
    <t>г. Мурманск, пер. Охотничий, д. 23</t>
  </si>
  <si>
    <t>г. Мурманск, пер. Русанова, д. 5</t>
  </si>
  <si>
    <t>г. Мурманск, ул. Беринга, д. 14</t>
  </si>
  <si>
    <t>г. Мурманск, ул. Володарского, д. 3</t>
  </si>
  <si>
    <t>г. Мурманск, ул. Героев Рыбачьего, д. 29</t>
  </si>
  <si>
    <t>г. Мурманск, ул. Героев Рыбачьего, д. 41</t>
  </si>
  <si>
    <t>г. Мурманск, ул. Героев Рыбачьего, д. 42</t>
  </si>
  <si>
    <t>г. Мурманск, ул. Героев Рыбачьего, д. 48</t>
  </si>
  <si>
    <t>г. Мурманск, ул. Загородная, д. 7</t>
  </si>
  <si>
    <t>г. Мурманск, ул. Зои Космодемьянской, д. 32</t>
  </si>
  <si>
    <t>г. Мурманск, ул. Карла Либкнехта, д. 9</t>
  </si>
  <si>
    <t>г. Мурманск, ул. Карла Маркса, д. 16</t>
  </si>
  <si>
    <t>г. Мурманск, ул. Карла Маркса, д. 61</t>
  </si>
  <si>
    <t>г. Мурманск, ул. Новое Плато, д. 10</t>
  </si>
  <si>
    <t>г. Мурманск, ул. Новое Плато, д. 11</t>
  </si>
  <si>
    <t>г. Мурманск, ул. Новое Плато, д. 16</t>
  </si>
  <si>
    <t>г. Мурманск, ул. Октябрьская, д. 17</t>
  </si>
  <si>
    <t>г. Мурманск, ул. Папанина, д. 9</t>
  </si>
  <si>
    <t>г. Мурманск, ул. Папанина, д. 22</t>
  </si>
  <si>
    <t>г. Мурманск, ул. Скальная, д. 30</t>
  </si>
  <si>
    <t>1987</t>
  </si>
  <si>
    <t>г. Мурманск, ул. Сполохи, д. 8</t>
  </si>
  <si>
    <t>г. Мурманск, ул. Успенского, д. 4</t>
  </si>
  <si>
    <t>г. Североморск, ул.Колышкина, д. 7</t>
  </si>
  <si>
    <t>г. Североморск, ул.Колышкина, д. 9</t>
  </si>
  <si>
    <t>г. Североморск, ул. Комсомольская, д. 23</t>
  </si>
  <si>
    <t>1990</t>
  </si>
  <si>
    <t>г. Североморск, ул. Саши Ковалева, д. 6</t>
  </si>
  <si>
    <t>г. Североморск, ул. Комсомольская, д. 16</t>
  </si>
  <si>
    <t>г. Североморск, ул. Сафонова, д. 26</t>
  </si>
  <si>
    <t>г. Североморск, ул. Сафонова, д. 27</t>
  </si>
  <si>
    <t>г. Североморск, ул. Северная Застава, д. 4</t>
  </si>
  <si>
    <t>г. Североморск, ул. Северная Застава, д. 14</t>
  </si>
  <si>
    <t>г. Североморск, ул. Северная Застава, д. 26</t>
  </si>
  <si>
    <t> 1982</t>
  </si>
  <si>
    <t> 1962</t>
  </si>
  <si>
    <t>360,30 </t>
  </si>
  <si>
    <t xml:space="preserve">г. Мончегорск, ул. Металлургов, д. 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</si>
  <si>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Мончегорск, ул. Металлургов, д. 26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</si>
  <si>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Видяева, д.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</si>
  <si>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Видяева, д. 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</si>
  <si>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Сивко,  д. 15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</si>
  <si>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Сивко,  д.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</si>
  <si>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Фисановича,  д.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</si>
  <si>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Героев Североморцев,  д. 15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</si>
  <si>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Видяева, д. 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</si>
  <si>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Гаджиева, д.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</si>
  <si>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Гаджиева, д. 2а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</si>
  <si>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Гаджиева, д.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</si>
  <si>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Гандюхина, д.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</si>
  <si>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Гандюхина, д. 14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</si>
  <si>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г. Полярный, ул. Гандюхина, д. 15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</si>
  <si>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г. Мурманск, пр. Кольский, д. 101</t>
  </si>
  <si>
    <t>г. Мурманск, пр. Кольский, д. 105</t>
  </si>
  <si>
    <t>г. Мурманск, пр. Кольский, д. 204</t>
  </si>
  <si>
    <t>г. Мурманск, ул. Полярные Зори, д. 24</t>
  </si>
  <si>
    <t>г. Мурманск, ул. Полярные Зори, д. 31, кор.1</t>
  </si>
  <si>
    <t>г. Мурманск, ул. Полярные Зори, д. 31, кор.2</t>
  </si>
  <si>
    <t>г. Североморск, ул. Флотских Строителей, д. 5</t>
  </si>
  <si>
    <t>г. Североморск, ул. Флотских Строителей, д. 6</t>
  </si>
  <si>
    <t>г. Североморск, ул. Душенова, д. 11</t>
  </si>
  <si>
    <t>г. Североморск, ул. Авиаторов, д. 7</t>
  </si>
  <si>
    <t>г. Североморск, ул. Авиаторов, д. 9</t>
  </si>
  <si>
    <t>Муниципальное образование сельское поселение Пушной Кольского района</t>
  </si>
  <si>
    <t>Муниципальное образование город Мончегорск с подведомственной территорией</t>
  </si>
  <si>
    <t>Муниципальное образование город Кировск с подведомственной территорией</t>
  </si>
  <si>
    <t>Муниципальное образование ЗАТО Александровск</t>
  </si>
  <si>
    <t>Муниципальное образование город Мурманск</t>
  </si>
  <si>
    <t>Муниципальное образование ЗАТО город Североморск</t>
  </si>
  <si>
    <t>Муниципальное образование городское поселение Умба Терского района</t>
  </si>
  <si>
    <t>г. Кировск, ул. Хибиногорская, д. 28</t>
  </si>
  <si>
    <t>За счет средств собственников помещений в МКД</t>
  </si>
  <si>
    <t>За счет средств областного бюджета</t>
  </si>
  <si>
    <t>г. Североморск, ул. Гвардейская, д. 15</t>
  </si>
  <si>
    <t>г. Североморск, ул. Гвардейская, д. 31б</t>
  </si>
  <si>
    <t>г. Североморск, ул. Гвардейская, д. 37</t>
  </si>
  <si>
    <t>г. Североморск, ул. Гвардейская, д. 49</t>
  </si>
  <si>
    <t>г. Североморск, ул. Авиаторов, д. 6</t>
  </si>
  <si>
    <t>г. Североморск, ул. Кирова, д. 11</t>
  </si>
  <si>
    <t>г. Мурманск, ул. Полярный Круг, д. 9</t>
  </si>
  <si>
    <t>г. Североморск, ул. Инженерная, д. 2</t>
  </si>
  <si>
    <t>Стоимость капитального ремонта**</t>
  </si>
  <si>
    <t>Разработка проектной документации</t>
  </si>
  <si>
    <t>Год начала работ</t>
  </si>
  <si>
    <t>Год завершения работ</t>
  </si>
  <si>
    <t>Муниципальное образование город Апатиты с подведомственной территорией</t>
  </si>
  <si>
    <t>г. Апатиты, пер. Московский, д. 1</t>
  </si>
  <si>
    <t>г. Апатиты, пер. Московский, д. 2</t>
  </si>
  <si>
    <t>г. Апатиты, ул. Бредова, д. 1</t>
  </si>
  <si>
    <t>г. Апатиты, ул. Бредова, д. 2</t>
  </si>
  <si>
    <t>г. Апатиты, ул. Бредова, д. 3</t>
  </si>
  <si>
    <t>г. Апатиты, ул. Бредова, д. 5</t>
  </si>
  <si>
    <t>г. Апатиты, ул. Бредова, д. 15</t>
  </si>
  <si>
    <t>г. Апатиты, ул. Бредова, д. 17</t>
  </si>
  <si>
    <t>г. Апатиты, ул. Бредова, д. 19</t>
  </si>
  <si>
    <t>г. Апатиты, ул. Космонавтов, д. 9</t>
  </si>
  <si>
    <t>г. Апатиты, ул. Космонавтов, д. 12</t>
  </si>
  <si>
    <t>г. Апатиты, ул. Ферсмана, д. 9</t>
  </si>
  <si>
    <t>г. Апатиты, ул. Фестивальная, д. 5</t>
  </si>
  <si>
    <t>г. Кировск, ул. Кирова, д. 38</t>
  </si>
  <si>
    <t>г. Мончегорск, пр. Металлургов, д. 11</t>
  </si>
  <si>
    <t>г. Мончегорск, пр. Кумужинская, д. 3</t>
  </si>
  <si>
    <t>г. Мончегорск, пр. Металлургов, д. 66</t>
  </si>
  <si>
    <t>г. Мончегорск, ул. Железнодорожная, д. 7/19</t>
  </si>
  <si>
    <t>г. Мончегорск, ул. Стахановская, д. 11</t>
  </si>
  <si>
    <t>г. Мончегорск, ул. Стахановская, д. 20</t>
  </si>
  <si>
    <t>г. Мурманск, пер. Охотничий, д. 13</t>
  </si>
  <si>
    <t>г. Мурманск, пер. Охотничий, д. 19</t>
  </si>
  <si>
    <t>г. Мурманск, пр. Кольский, д. 114, корп. 1</t>
  </si>
  <si>
    <t>г. Мурманск, пр. Кольский, д. 157</t>
  </si>
  <si>
    <t>г. Мурманск, ул. Адмирала флота Лобова, д. 11</t>
  </si>
  <si>
    <t>г. Мурманск, ул. Гвардейская, д. 9а</t>
  </si>
  <si>
    <t>г. Мурманск, ул. Зои Космодемьянской, д. 10</t>
  </si>
  <si>
    <t>г. Мурманск, ул. имени Аскольдовцев, д. 35</t>
  </si>
  <si>
    <t>г. Мурманск, ул. Инженерная, д. 7</t>
  </si>
  <si>
    <t>г. Мурманск, ул. Карла Маркса, д. 14</t>
  </si>
  <si>
    <t>г. Мурманск, ул. Карла Маркса, д. 35</t>
  </si>
  <si>
    <t>г. Мурманск, ул. Лесная, д. 8</t>
  </si>
  <si>
    <t>г. Мурманск, ул. Лесная, д. 10</t>
  </si>
  <si>
    <t>г. Мурманск, ул. Лесная, д. 12</t>
  </si>
  <si>
    <t>г. Мурманск, ул. Лесная, д. 17</t>
  </si>
  <si>
    <t>г. Мурманск, ул. Нахимова, д. 24</t>
  </si>
  <si>
    <t>г. Мурманск, ул. Октябрьская, д. 12</t>
  </si>
  <si>
    <t>г. Мурманск, ул. Сафонова, д. 32/19</t>
  </si>
  <si>
    <t>г. Мурманск, ул. Свердлова, д. 2, корп. 3</t>
  </si>
  <si>
    <t>г. Мурманск, ул. Фадеев Ручей, д. 21</t>
  </si>
  <si>
    <t>г. Мурманск, ул. Челюскинцев, д. 25</t>
  </si>
  <si>
    <t>г. Мурманск, ул. Челюскинцев, д. 35</t>
  </si>
  <si>
    <t>г. Мурманск, ул. имени Героя Советского Союза Сивко И.М., д. 9</t>
  </si>
  <si>
    <t>г. Мурманск, ул. Героев Рыбачьего, д. 44</t>
  </si>
  <si>
    <t>г. Мурманск, ул. Героев Рыбачьего, д. 46</t>
  </si>
  <si>
    <t>Муниципальное образование город Оленегорск с подведомственной территорией</t>
  </si>
  <si>
    <t>г. Оленегорск, ул. Бардина, д. 12</t>
  </si>
  <si>
    <t>г. Оленегорск, ул. Бардина, д. 14</t>
  </si>
  <si>
    <t>г. Оленегорск, ул. Бардина, д. 16</t>
  </si>
  <si>
    <t>г. Оленегорск, ул. Бардина, д. 24</t>
  </si>
  <si>
    <t>г. Оленегорск, ул. Бардина, д. 44</t>
  </si>
  <si>
    <t>Итого по муниципальному образованию на 2015 год:</t>
  </si>
  <si>
    <t>Итого по муниципальному образованию на 2016 год:</t>
  </si>
  <si>
    <t>Итого по муниципальному образованию на 2014 год:</t>
  </si>
  <si>
    <t>Муниципальное образование город Полярные Зори с подведомственной территорией</t>
  </si>
  <si>
    <t>г. Полярные Зори, пр. Нивский, д. 7</t>
  </si>
  <si>
    <t>г. Полярные Зори, пр. Нивский, д. 8</t>
  </si>
  <si>
    <t>г. Полярный, ул. Видяева, д. 2</t>
  </si>
  <si>
    <t>г. Полярный, ул. Видяева, д. 11</t>
  </si>
  <si>
    <t>г. Полярный, ул. Лунина, д. 5</t>
  </si>
  <si>
    <t>1957</t>
  </si>
  <si>
    <t>г. Снежногорск, ул. В. Бирюкова, д. 13</t>
  </si>
  <si>
    <t>1976</t>
  </si>
  <si>
    <t>г. Снежногорск, ул. Победы, д. 3</t>
  </si>
  <si>
    <t>г. Снежногорск, ул. Флотская, д. 4</t>
  </si>
  <si>
    <t>г. Гаджиево, ул. Колышкина, д. 69</t>
  </si>
  <si>
    <t>г. Гаджиево, ул. Ленина, д. 63</t>
  </si>
  <si>
    <t>г. Североморск, ул. Восточная, д. 11</t>
  </si>
  <si>
    <t>1964</t>
  </si>
  <si>
    <t>г. Североморск, ул. Генерала Фулика, д. 8</t>
  </si>
  <si>
    <t>1939</t>
  </si>
  <si>
    <t>1940</t>
  </si>
  <si>
    <t>г. Североморск, ул. Сафонова, д. 10</t>
  </si>
  <si>
    <t>пгт Сафоново, ул. Преображенского, д. 5</t>
  </si>
  <si>
    <t>1938</t>
  </si>
  <si>
    <t>г. Североморск, ул. Гаджиева, д. 3</t>
  </si>
  <si>
    <t>г. Североморск, ул. Гаджиева, д. 5</t>
  </si>
  <si>
    <t>г. Североморск, ул. Морская, д. 10</t>
  </si>
  <si>
    <t>г. Североморск, ул. Душенова, д. 8/8</t>
  </si>
  <si>
    <t>г. Североморск, ул. Северная Застава, д. 9</t>
  </si>
  <si>
    <t>г. Североморск, ул. Северная Застава, д. 38</t>
  </si>
  <si>
    <t>г. Североморск, ул. Гаджиева, д. 2</t>
  </si>
  <si>
    <t>пгт Сафоново, ул. Преображенского, д. 1</t>
  </si>
  <si>
    <t>Муниципальное образование ЗАТО поселок Видяево</t>
  </si>
  <si>
    <t>Муниципальное образование ЗАТО город Заозерск</t>
  </si>
  <si>
    <t>г. Кировск, пр. Ленина, д. 9а</t>
  </si>
  <si>
    <t>1963</t>
  </si>
  <si>
    <t>1962</t>
  </si>
  <si>
    <t>Муниципальное образование ЗАТО город Островной</t>
  </si>
  <si>
    <t>Кандалакшский муниципальный район</t>
  </si>
  <si>
    <t>Муниципальное образование сельское поселение Алакуртти Кандалакшского района</t>
  </si>
  <si>
    <t>1982</t>
  </si>
  <si>
    <t>Муниципальное образование городское поселение Зеленоборский Кандалакшского района</t>
  </si>
  <si>
    <t>пгт Зеленоборский, ул. Магистральная, д. 21</t>
  </si>
  <si>
    <t>1950</t>
  </si>
  <si>
    <t>пгт Зеленоборский, ул. Магистральная, д. 28</t>
  </si>
  <si>
    <t>1960</t>
  </si>
  <si>
    <t>пгт Зеленоборский, ул. Озерная, д. 45</t>
  </si>
  <si>
    <t>пгт Зеленоборский, ул. Озерная, д. 47</t>
  </si>
  <si>
    <t>Муниципальное образование городское поселение Кандалакша Кандалакшского района</t>
  </si>
  <si>
    <t>г. Кандалакша, ул. Кировская аллея, д. 1/42</t>
  </si>
  <si>
    <t>г. Кандалакша, ул. Кировская аллея, д. 7</t>
  </si>
  <si>
    <t>г. Кандалакша, ул. Кировская аллея, д. 8</t>
  </si>
  <si>
    <t>1956</t>
  </si>
  <si>
    <t>г. Кандалакша, ул. Кировская аллея, д. 33</t>
  </si>
  <si>
    <t>1925</t>
  </si>
  <si>
    <t>1931</t>
  </si>
  <si>
    <t>1930</t>
  </si>
  <si>
    <t>г. Кандалакша, ул. Высокая, д. 3/35</t>
  </si>
  <si>
    <t>1935</t>
  </si>
  <si>
    <t>г. Кандалакша, ул. Курасова, д. 11</t>
  </si>
  <si>
    <t>г. Кандалакша, ул. Первомайская, д. 77</t>
  </si>
  <si>
    <t>1934</t>
  </si>
  <si>
    <t>г. Кандалакша, ул. Первомайская, д. 85</t>
  </si>
  <si>
    <t>г. Кандалакша, ул. Советская, д. 22</t>
  </si>
  <si>
    <t>1936</t>
  </si>
  <si>
    <t>г. Кандалакша, ул. Спекова, д. 8</t>
  </si>
  <si>
    <t>г. Кандалакша, ул. Уверова, д. 22</t>
  </si>
  <si>
    <t>1941</t>
  </si>
  <si>
    <t>Кольский муниципальный район</t>
  </si>
  <si>
    <t>Муниципальное образование городское поселение Кильдинстрой Кольского района</t>
  </si>
  <si>
    <t>пгт Кильдинстрой, ул. Советская, д. 11</t>
  </si>
  <si>
    <t>пгт Кильдинстрой, ул. Советская, д. 14</t>
  </si>
  <si>
    <t>пгт Кильдинстрой, ул. Советская, д. 15</t>
  </si>
  <si>
    <t>Муниципальное образование городское поселение Кола Кольского района</t>
  </si>
  <si>
    <t>г. Кола, ул. Кривошеева, д. 13</t>
  </si>
  <si>
    <t>г. Кола, ул. Победы, д. 20</t>
  </si>
  <si>
    <t>Муниципальное образование городское поселение Мурмаши Кольского района</t>
  </si>
  <si>
    <t>пгт Мурмаши, ул. Полярная, д. 4</t>
  </si>
  <si>
    <t>пгт Мурмаши, ул. Тягунова, д. 3</t>
  </si>
  <si>
    <t>пгт Мурмаши, ул. Тягунова, д. 8</t>
  </si>
  <si>
    <t>1988</t>
  </si>
  <si>
    <t>1968</t>
  </si>
  <si>
    <t>Муниципальное образование городское поселение Туманный Кольского района</t>
  </si>
  <si>
    <t>пгт Туманный, ул. Энергетиков, д. 8</t>
  </si>
  <si>
    <t>пгт Туманный, ул. Энергетиков, д. 9</t>
  </si>
  <si>
    <t>Ловозерский муниципальный район</t>
  </si>
  <si>
    <t>Муниципальное образование сельское поселение Ловозеро Ловозерского района</t>
  </si>
  <si>
    <t>с. Ловозеро, ул. Вокуева, д. 17</t>
  </si>
  <si>
    <t>1978</t>
  </si>
  <si>
    <t>с. Ловозеро, ул. Пионерская, д. 20</t>
  </si>
  <si>
    <t>с. Ловозеро, ул. Пионерская, д. 21</t>
  </si>
  <si>
    <t>Муниципальное образование городское поселение Ревда Ловозерского района</t>
  </si>
  <si>
    <t>Печенгский муниципальный район</t>
  </si>
  <si>
    <t>Муниципальное образование городское поселение Заполярный Печенгского района</t>
  </si>
  <si>
    <t>г. Заполярный, пер. А.В. Шмакова, д. 1</t>
  </si>
  <si>
    <t>г. Заполярный, пер. А.В. Шмакова, д. 3</t>
  </si>
  <si>
    <t>г. Заполярный, пер. А.В. Шмакова, д. 4</t>
  </si>
  <si>
    <t>г. Заполярный, ул. Крупской, д. 7</t>
  </si>
  <si>
    <t>г. Заполярный, ул. Ленина, д. 29</t>
  </si>
  <si>
    <t>г. Заполярный, ул. Юбилейная, д. 7</t>
  </si>
  <si>
    <t>1967</t>
  </si>
  <si>
    <t>Муниципальное образование городское поселение Никель Печенгского района</t>
  </si>
  <si>
    <t>пгт Никель, пр. Гвардейский, д. 37</t>
  </si>
  <si>
    <t>1989</t>
  </si>
  <si>
    <t>пгт Никель, пр. Гвардейский, д. 39</t>
  </si>
  <si>
    <t>1985</t>
  </si>
  <si>
    <t>пгт Никель, ул. 14 Армии, д. 5а</t>
  </si>
  <si>
    <t>1954</t>
  </si>
  <si>
    <t>пгт Никель, ул. Бредова, д. 6/12</t>
  </si>
  <si>
    <t>1965</t>
  </si>
  <si>
    <t>пгт Никель, ул. Бредова, д. 10</t>
  </si>
  <si>
    <t>1973</t>
  </si>
  <si>
    <t>пгт Никель, ул. Бредова, д. 12</t>
  </si>
  <si>
    <t>1974</t>
  </si>
  <si>
    <t>пгт Никель, ул. Октябрьская, д. 4</t>
  </si>
  <si>
    <t>пгт Никель, ул. Печенгская, д. 13/11</t>
  </si>
  <si>
    <t>пгт Никель, ул. Печенгская, д. 18/9</t>
  </si>
  <si>
    <t>1966</t>
  </si>
  <si>
    <t>пгт Никель, ул. Победы, д. 16</t>
  </si>
  <si>
    <t>пгт Никель, ул. Сидоровича, д. 18</t>
  </si>
  <si>
    <t>1979</t>
  </si>
  <si>
    <t>пгт Никель, ул. Спортивная, д. 1б</t>
  </si>
  <si>
    <t>1969</t>
  </si>
  <si>
    <t>Терский муниципальный район</t>
  </si>
  <si>
    <t>Итого Терский муниципальный район на 2015 год:</t>
  </si>
  <si>
    <t>Итого Печенгский муниципальный район на 2015 год:</t>
  </si>
  <si>
    <t>Итого Ловозерский муниципальный район на 2015 год:</t>
  </si>
  <si>
    <t>Итого Кольский муниципальный район на 2015 год:</t>
  </si>
  <si>
    <t>Итого Кандалакшский муниципальный район на 2015 год:</t>
  </si>
  <si>
    <t>г. Мончегорск, ул. Кольская, д. 4</t>
  </si>
  <si>
    <t>г. Мончегорск, наб. Комсомольская, д. 60</t>
  </si>
  <si>
    <t>г. Мончегорск, ул. Советская, д. 12</t>
  </si>
  <si>
    <t>г. Мончегорск, ул. Комсомольская, д. 26 стр. а</t>
  </si>
  <si>
    <t>г. Мурманск, пер. Арктический, д. 16</t>
  </si>
  <si>
    <t>г. Мурманск, пер. Охотничий, д. 17</t>
  </si>
  <si>
    <t>г. Мурманск, пр. Кольский, д. 36</t>
  </si>
  <si>
    <t>г. Мурманск, ул. Адмирала флота Лобова, д. 49/17</t>
  </si>
  <si>
    <t>г. Мурманск, ул. Академика Павлова, д. 40</t>
  </si>
  <si>
    <t>г. Мурманск, ул. Виктора Миронова, д. 10</t>
  </si>
  <si>
    <t>г. Мурманск, ул. Вице-адмирала Николаева, д. 3</t>
  </si>
  <si>
    <t>г. Мурманск, ул. Гвардейская, д. 11</t>
  </si>
  <si>
    <t>г. Мурманск, ул. Гончарова, д. 13</t>
  </si>
  <si>
    <t>г. Мурманск, ул. Капитана Маклакова, д. 23</t>
  </si>
  <si>
    <t>г. Мурманск, ул. Карла Маркса, д. 6/1</t>
  </si>
  <si>
    <t>г. Мурманск, ул. Карла Маркса, д. 42</t>
  </si>
  <si>
    <t>г. Мурманск, ул. Нахимова, д. 7</t>
  </si>
  <si>
    <t>г. Мурманск, ул. Нахимова, д. 17</t>
  </si>
  <si>
    <t>г. Мурманск, ул. Подстаницкого, д. 12</t>
  </si>
  <si>
    <t>г. Мурманск, ул. Подстаницкого, д. 16</t>
  </si>
  <si>
    <t>г. Мурманск, ул. Подстаницкого, д. 18</t>
  </si>
  <si>
    <t>г. Мурманск, ул. Полярные Зори, д. 3</t>
  </si>
  <si>
    <t>г. Мурманск, ул. Полярные Зори, д. 33/2</t>
  </si>
  <si>
    <t>г. Мурманск, ул. Прибрежная, д. 6</t>
  </si>
  <si>
    <t>г. Мурманск, ул. Ростинская, д. 3</t>
  </si>
  <si>
    <t>г. Мурманск, ул. Сафонова, д. 19</t>
  </si>
  <si>
    <t>г. Мурманск, ул. Свердлова, д. 2/3</t>
  </si>
  <si>
    <t>г. Мурманск, ул. Свердлова, д. 12/1</t>
  </si>
  <si>
    <t>г. Мурманск, ул. Свердлова, д. 26</t>
  </si>
  <si>
    <t>г. Мурманск, ул. Семена Дежнева, д. 14</t>
  </si>
  <si>
    <t>г. Мурманск, ул. Семена Дежнева, д. 16</t>
  </si>
  <si>
    <t>г. Мурманск, ул. Семена Дежнева, д. 18</t>
  </si>
  <si>
    <t>г. Мурманск, ул. Старостина, д. 10</t>
  </si>
  <si>
    <t>с. Алакуртти, ул. Грязнова, д. 1</t>
  </si>
  <si>
    <t>с. Алакуртти, наб. Нижняя, д. 1 а</t>
  </si>
  <si>
    <t>Муниципальное образование сельское поселение Зареченск Кандалакшского района</t>
  </si>
  <si>
    <t>г. Кандалакша, ул. Комсомольская, д. 8</t>
  </si>
  <si>
    <t>г. Кандалакша, ул. Восточная, д. 10</t>
  </si>
  <si>
    <t>г. Кандалакша, ул. Наймушина, д. 4</t>
  </si>
  <si>
    <t>г. Кандалакша, ул.Кандалакшское шоссе, д. 41/4</t>
  </si>
  <si>
    <t>г. Кандалакша, ул.Данилова, д. 27</t>
  </si>
  <si>
    <t>г. Кандалакша, ул. Пионерская, д. 5</t>
  </si>
  <si>
    <t>г. Кандалакша, ул. Фрунзе, д. 34</t>
  </si>
  <si>
    <t>г. Кандалакша, ул. Пронина, д. 10</t>
  </si>
  <si>
    <t>г. Кандалакша, ул. 2-я линия, д. 27</t>
  </si>
  <si>
    <t>г. Кандалакша, ул. 3-я линия, д. 53</t>
  </si>
  <si>
    <t>г. Кандалакша, ул. Кировская аллея, д. 19</t>
  </si>
  <si>
    <t>г. Кандалакша, ул. Комсомольская, д. 22а</t>
  </si>
  <si>
    <t>Итого Кандалакшский муниципальный район на 2016 год:</t>
  </si>
  <si>
    <t>г. Кола, ул. Кривошеева, д. 14</t>
  </si>
  <si>
    <t>г. Кола, ул. Андрусенко, д. 21</t>
  </si>
  <si>
    <t>г. Кола, пер. Островский, д. 5</t>
  </si>
  <si>
    <t>г. Кола, пер. Островский, д. 4</t>
  </si>
  <si>
    <t>г. Кола, ул. Миронова, д. 7</t>
  </si>
  <si>
    <t>Муниципальное образование городское поселение Верхнетуломский Кольского района</t>
  </si>
  <si>
    <t>пгт Верхнетуломский, ул. Падунская, д. 5</t>
  </si>
  <si>
    <t>Муниципальное образование сельское поселение Междуречье Кольского района</t>
  </si>
  <si>
    <t>Муниципальное образование городское поселение Молочный Кольского района</t>
  </si>
  <si>
    <t>пгт Молочный, ул. Гальченко, д. 1</t>
  </si>
  <si>
    <t>пгт Молочный, ул. Гальченко, д. 3</t>
  </si>
  <si>
    <t>пгт Молочный, ул. Гальченко, д. 5</t>
  </si>
  <si>
    <t>пгт Молочный, ул. Молодежная, д. 2</t>
  </si>
  <si>
    <t>пгт Мурмаши, ул. Советская, д. 20</t>
  </si>
  <si>
    <t>пгт Мурмаши, ул. Комсомольская, д. 9</t>
  </si>
  <si>
    <t>пгт Мурмаши, ул. Причальная, д. 3</t>
  </si>
  <si>
    <t>Итого по Мурманской области на 2014 год:</t>
  </si>
  <si>
    <t>Итого по Мурманской области на 2015 год:</t>
  </si>
  <si>
    <t>Итого по Мурманской области на 2016 год:</t>
  </si>
  <si>
    <t>Х</t>
  </si>
  <si>
    <t>Итого Кандалакшский муниципальный район на 2014 год:</t>
  </si>
  <si>
    <t>Итого Кольский муниципальный район на 2014 год:</t>
  </si>
  <si>
    <t>Итого Кольский муниципальный район на 2016 год:</t>
  </si>
  <si>
    <t>с. Ловозеро, ул. Пионерская, д. 18</t>
  </si>
  <si>
    <t>1981</t>
  </si>
  <si>
    <t>с. Ловозеро, ул. Советская, д. 23</t>
  </si>
  <si>
    <t>1961</t>
  </si>
  <si>
    <t>с. Ловозеро, ул. Юрьева, д. 6</t>
  </si>
  <si>
    <t>Итого Ловозерский муниципальный район на 2014 год:</t>
  </si>
  <si>
    <t>Итого Ловозерский муниципальный район на 2016 год:</t>
  </si>
  <si>
    <t>пгт Зеленоборский, ул. Заводская, д. 7</t>
  </si>
  <si>
    <t>пгт Никель, ул. Печенгская, д. 16</t>
  </si>
  <si>
    <t>Итого Печенгский муниципальный район на 2014 год:</t>
  </si>
  <si>
    <t>Итого Печенгский муниципальный район на 2016 год:</t>
  </si>
  <si>
    <t>Итого Терский муниципальный район на 2014 год:</t>
  </si>
  <si>
    <t>Итого Терский муниципальный район на 2016 год:</t>
  </si>
  <si>
    <t>г. Заполярный, ул. Юбилейная, д. 2</t>
  </si>
  <si>
    <t>Общая площадь помещений МКД, всего</t>
  </si>
  <si>
    <t>г. Полярные Зори, пр. Нивский, д. 14</t>
  </si>
  <si>
    <t>г. Полярные Зори, ул. Пушкина, д. 5</t>
  </si>
  <si>
    <t>г. Полярные Зори, ул. Белова, д. 1</t>
  </si>
  <si>
    <t>г. Полярные Зори, ул. Белова, д. 8</t>
  </si>
  <si>
    <t>г. Полярные Зори, ул. Партизан Заполярья, д. 4</t>
  </si>
  <si>
    <t>пгт Сафоново, ул. Панина, д. 5</t>
  </si>
  <si>
    <t>пгт Сафоново, ул. Панина, д. 6</t>
  </si>
  <si>
    <t>пгт Сафоново, ул. Панина, д. 8</t>
  </si>
  <si>
    <t>пгт Сафоново, ул. Панина, д. 9</t>
  </si>
  <si>
    <t>пгт Никель, пр. Гвардейский, д. 4</t>
  </si>
  <si>
    <t>г. Кола, пр. Защитников Заполярья, д. 28</t>
  </si>
  <si>
    <t>г. Кола, пр. Советский, д. 14</t>
  </si>
  <si>
    <t>г. Кола, пр. Советский, д. 43</t>
  </si>
  <si>
    <t>г. Апатиты, ул. Комсомольская, д. 2</t>
  </si>
  <si>
    <t>г. Апатиты, ул. Московская, д. 10</t>
  </si>
  <si>
    <t>г. Мурманск, ул. Свердлова, д. 44, кор. 3</t>
  </si>
  <si>
    <t>пгт Ревда, ул. Нефедова, д. 2</t>
  </si>
  <si>
    <t>г. Североморск, ул. адмирала Сизова, д. 7</t>
  </si>
  <si>
    <t>г. Североморск, ул. адмирала Сизова, д. 16</t>
  </si>
  <si>
    <t>г. Снежногорск, ул. Победы, д. 2</t>
  </si>
  <si>
    <t>г. Заполярный, ул. Юбилейная, д. 8</t>
  </si>
  <si>
    <t>г. Мурманск, пр-д Капитана Тарана, д. 19</t>
  </si>
  <si>
    <t>г. Мурманск, пр. Ленина, д. 48</t>
  </si>
  <si>
    <t>г. Мурманск, пр. Ленина, д. 77</t>
  </si>
  <si>
    <t>г. Снежногорск, ул. Октябрьская, д. 11</t>
  </si>
  <si>
    <t>г. Снежногорск, ул. Октябрьская, д. 13</t>
  </si>
  <si>
    <t>г. Снежногорск, ул. Октябрьская, д. 15</t>
  </si>
  <si>
    <t>г. Снежногорск, ул. Павла Стеблина, д. 15</t>
  </si>
  <si>
    <t>г. Полярный, ул. Гагарина, д. 5</t>
  </si>
  <si>
    <t>г. Полярный, ул. Гагарина, д.7</t>
  </si>
  <si>
    <t>г. Полярный, ул. Гаджиева, д. 4</t>
  </si>
  <si>
    <t>г. Полярный, ул. Гандюхина, д. 6</t>
  </si>
  <si>
    <t>г. Полярный, ул. Героев "Тумана", д. 9</t>
  </si>
  <si>
    <t>г. Полярный, ул. Героев Североморцев, д. 3</t>
  </si>
  <si>
    <t>г. Полярный, ул. Героев Североморцев, д. 6</t>
  </si>
  <si>
    <t>г. Полярный, ул. Героев Североморцев, д. 17</t>
  </si>
  <si>
    <t>г. Полярный, ул. Красный Горн, д. 1</t>
  </si>
  <si>
    <t>г. Полярный, ул. Красный Горн, д. 4</t>
  </si>
  <si>
    <t>г. Полярный, ул. Красный Горн, д. 12</t>
  </si>
  <si>
    <t>г. Полярный, ул. Красный Горн, д. 23</t>
  </si>
  <si>
    <t>г. Полярный, ул. Красный Горн, д. 26</t>
  </si>
  <si>
    <t>г. Полярный, ул. Лунина, д. 10</t>
  </si>
  <si>
    <t>г. Полярный, ул. Душенова, д. 9</t>
  </si>
  <si>
    <t xml:space="preserve">г. Полярный, ул. Фисановича,  д. 8                                                                                                                                                                                                                           </t>
  </si>
  <si>
    <t>г. Полярный, ул. Фисановича,  д. 9</t>
  </si>
  <si>
    <t>г. Гаджиево, ул. Гаджиева, д. 23</t>
  </si>
  <si>
    <t>нп. Оленья Губа, ул. Строителей, д. 33</t>
  </si>
  <si>
    <t>г. Мурманск, ул. Академика Павлова, д. 5</t>
  </si>
  <si>
    <t>г. Мурманск, пр-д Ивана Александровича Халатина, д. 8</t>
  </si>
  <si>
    <t>г. Мурманск, ул. Юрия Гагарина, д. 39</t>
  </si>
  <si>
    <t>г. Мурманск, ул. им. профессора Сомова, д. 7</t>
  </si>
  <si>
    <t>г. Мурманск, ул. Баумана, д. 34</t>
  </si>
  <si>
    <t>г. Мурманск, ул. Баумана, д. 36</t>
  </si>
  <si>
    <t>г. Мурманск, ул. Самойловой, д. 12</t>
  </si>
  <si>
    <t>г. Мурманск, ул. Капитана Маклакова, д. 13</t>
  </si>
  <si>
    <t>г. Мурманск, ул. Капитана Маклакова, д. 21</t>
  </si>
  <si>
    <t>г. Мурманск, ул. им. Капитана Копытова С.Д., д. 21</t>
  </si>
  <si>
    <t>г. Мурманск, ул. Самойловой, д. 18</t>
  </si>
  <si>
    <t>г. Мурманск, ул. им. Виктора Миронова, д. 10</t>
  </si>
  <si>
    <t>г. Мурманск, ул. генерала Фролова, д. 3</t>
  </si>
  <si>
    <t>г. Мурманск, ул. Баумана, д. 14</t>
  </si>
  <si>
    <t>г. Мурманск, ул. Юрия Смирнова, д. 16</t>
  </si>
  <si>
    <t>г. Мурманск, ул. Юрия Смирнова, д. 20</t>
  </si>
  <si>
    <t>г. Мурманск, ул. Юрия Смирнова, д. 22</t>
  </si>
  <si>
    <t>г. Мурманск, ул. Анатолия Бредова, д. 5</t>
  </si>
  <si>
    <t>г. Мурманск, ул. Алексея Генералова, д. 11</t>
  </si>
  <si>
    <t>г. Мурманск, ул. Баумана, д. 16</t>
  </si>
  <si>
    <t>г. Мурманск, ул. Академика Павлова, д. 3</t>
  </si>
  <si>
    <t>*  Завершение капитального ремонта общего имущества в многоквартирных домах, являющихся объектами культурного наследия возможно не позднее, чем 31 декабря года, следующего за годом, в котором запланировано начало работ.</t>
  </si>
  <si>
    <t>г. Мурманск, б-р Театральный, д. 7</t>
  </si>
  <si>
    <t>Мурманской области</t>
  </si>
  <si>
    <t>Ковдорский район</t>
  </si>
  <si>
    <t>г. Ковдор, пл. Ленина, д. 3</t>
  </si>
  <si>
    <t>г. Ковдор, пл. Ленина, д. 4</t>
  </si>
  <si>
    <t>г. Ковдор, ул. Горняков, д. 7</t>
  </si>
  <si>
    <t>г. Ковдор, ул. Коновалова, д. 4</t>
  </si>
  <si>
    <t>г. Ковдор, ул. Коновалова, д. 6</t>
  </si>
  <si>
    <t>г. Ковдор, ул. Коновалова, д. 8</t>
  </si>
  <si>
    <t>г. Ковдор, ул. Ленина, д. 1</t>
  </si>
  <si>
    <t>г. Ковдор, ул. Ленина, д. 4</t>
  </si>
  <si>
    <t>г. Ковдор, ул. Горняков, д. 24</t>
  </si>
  <si>
    <t>г. Ковдор, пл. Ленина, д. 5</t>
  </si>
  <si>
    <t>г. Ковдор, ул. Кирова, д. 7</t>
  </si>
  <si>
    <t>г. Ковдор, ул. Сухачева, д. 23</t>
  </si>
  <si>
    <t>г. Ковдор, пл. Ленина, д. 2</t>
  </si>
  <si>
    <t>г. Ковдор, ул. Ленина, д. 8</t>
  </si>
  <si>
    <t xml:space="preserve">     Предельная стоимость работ, выполняемых при финансовой поддержке за счет средств Фонда содействия реформированию жилищно-коммунального хозяйства:</t>
  </si>
  <si>
    <t>Новая редакция:</t>
  </si>
  <si>
    <t>Утвержденная редакция:</t>
  </si>
  <si>
    <t>Отклонение:</t>
  </si>
  <si>
    <r>
      <t xml:space="preserve">      - стоимость ремонта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общей площади  помещений многоквартирного дома  без учета замены лифтового оборудования - 11 379,86 руб.; </t>
    </r>
  </si>
  <si>
    <t xml:space="preserve">      - размер затрат на осуществление строительного контроля при проведении капитального ремонта МКД составляет не более 1,5 % от стоимости фактически выполненных работ.»</t>
  </si>
  <si>
    <r>
      <t xml:space="preserve">      - стоимость ремонта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общей площади  помещений многоквартирного дома  с учетом замены лифтового оборудования - 12 777,69 руб.;</t>
    </r>
  </si>
  <si>
    <t>Объекты культурного наследия *</t>
  </si>
  <si>
    <t>Адресный перечень многоквартирных домов, в отношении которых планируется проведение капитального ремонта общего имущества</t>
  </si>
  <si>
    <t xml:space="preserve">к постановлению Правительства </t>
  </si>
  <si>
    <t>«Сводный краткосрочный план реализации региональной программы капитального ремонта общего имущества в многоквартирных домах,                                                                                                                                                      расположенных на территории Мурманской области, на 2014 - 2016 годы</t>
  </si>
  <si>
    <t>г. Мурманск, пр. Героев-Североморцев, д. 5/3</t>
  </si>
  <si>
    <t>ж/д ст. Лопарская, ул. Восход, д. 15а</t>
  </si>
  <si>
    <t>г. Полярный, ул. Сивко, д. 13</t>
  </si>
  <si>
    <t>Приложение № 1</t>
  </si>
  <si>
    <t>нп. Африканда, ул. Комсомольская, д. 6</t>
  </si>
  <si>
    <t>нп. Африканда, ул. Советская, д. 5</t>
  </si>
  <si>
    <t>нп. Зашеек, ул. Новая, д. 3а</t>
  </si>
  <si>
    <t xml:space="preserve">нп. Зашеек, ул. Новая, д. 40 </t>
  </si>
  <si>
    <t xml:space="preserve">нп. Зашеек, ул. Новая, д. 6 </t>
  </si>
  <si>
    <t>нп. Зашеек, ул. Станционная, д. 8</t>
  </si>
  <si>
    <t>п. Видяево, ул. Заречная, д. 46</t>
  </si>
  <si>
    <t>п. Видяево, ул. Заречная, д. 50</t>
  </si>
  <si>
    <t>г. Заозерск, ул. Колышкина, д. 3</t>
  </si>
  <si>
    <t>г. Заозерск, ул. Строительная, д. 14</t>
  </si>
  <si>
    <t>г. Островной, ул. Соловья, д. 5</t>
  </si>
  <si>
    <t>г. Островной, ул. Соловья, д. 10</t>
  </si>
  <si>
    <t>нп. Североморск-3, ул. Школьная, д. 1</t>
  </si>
  <si>
    <t>нп. Североморск-3, ул. Школьная, д. 2</t>
  </si>
  <si>
    <t>нп. Североморск-3, ул. Школьная, д. 4</t>
  </si>
  <si>
    <t>нп. Зареченск, ул. Иовская, д. 38</t>
  </si>
  <si>
    <t>нп. Нивский, ул. Кондрашкина, д. 13</t>
  </si>
  <si>
    <t>нп. Нивский, ул. Кондрашкина, д. 18</t>
  </si>
  <si>
    <t>нп. Нивский, ул. Кондрашкина, д. 11</t>
  </si>
  <si>
    <t>нп. Нивский, ул. Кондрашкина, д. 16</t>
  </si>
  <si>
    <t>нп. Нивский, ул. Кондрашкина, д. 7</t>
  </si>
  <si>
    <t>нп. Нивский, ул. Кондрашкина, д. 8</t>
  </si>
  <si>
    <t>нп. Междуречье, д. 3</t>
  </si>
  <si>
    <t>нп. Пушной, ул. Ленинградская, д. 8</t>
  </si>
  <si>
    <t>нп. Пушной, ул. Советская, д. 2</t>
  </si>
  <si>
    <t>нп. Пушной, ул. Советская, д. 1</t>
  </si>
  <si>
    <t>пгт Умба, ул. Беломорская, д. 47</t>
  </si>
  <si>
    <t>пгт Умба, ул. Дзержинского, д. 54</t>
  </si>
  <si>
    <t>пгт Умба, ул. Зеленая, д. 27</t>
  </si>
  <si>
    <t>пгт Умба, ул. Ключевая, д. 26а</t>
  </si>
  <si>
    <t>пгт Умба, ул. Приморская, д. 40</t>
  </si>
  <si>
    <t>пгт Умба, ул. Рыбников, д. 3</t>
  </si>
  <si>
    <t>пгт Умба, ул. Советская, д. 3</t>
  </si>
  <si>
    <t>пгт Умба, ул. Совхозная, д. 16</t>
  </si>
  <si>
    <t>пгт Умба, ул. Совхозная, д. 17</t>
  </si>
  <si>
    <t>пгт Умба, ул. Советская, д. 10</t>
  </si>
  <si>
    <t>жилрайон Росляково, ул. Молодежная, д. 16</t>
  </si>
  <si>
    <t>г. Оленегорск, ул. Бардина, д. 28</t>
  </si>
  <si>
    <t>** Предельная стоимость работ, выполняемых за счет средств фонда капитального ремонта, формируемого на счете НКО «ФКР МО»,  расчитанная на дату проведения конкурсного отбора подрядной организации в соответствии с предельной стоимостью работ, утвержденной постановлением Правительства Мурманской области.</t>
  </si>
  <si>
    <r>
      <t xml:space="preserve">от </t>
    </r>
    <r>
      <rPr>
        <u/>
        <sz val="40"/>
        <rFont val="Times New Roman"/>
        <family val="1"/>
        <charset val="204"/>
      </rPr>
      <t xml:space="preserve">14.03.2017 </t>
    </r>
    <r>
      <rPr>
        <sz val="40"/>
        <rFont val="Times New Roman"/>
        <family val="1"/>
        <charset val="204"/>
      </rPr>
      <t xml:space="preserve">№ </t>
    </r>
    <r>
      <rPr>
        <u/>
        <sz val="40"/>
        <rFont val="Times New Roman"/>
        <family val="1"/>
        <charset val="204"/>
      </rPr>
      <t>126-ПП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</si>
</sst>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#,##0.00\ _р_."/>
    <numFmt numFmtId="166" formatCode="#,##0.00_р_."/>
    <numFmt numFmtId="167" formatCode="_-* #,##0.00\ _р_._-;\-* #,##0.00\ _р_._-;_-* &quot;-&quot;???\ _р_._-;_-@_-"/>
    <numFmt numFmtId="168" formatCode="[$-419]General"/>
    <numFmt numFmtId="169" formatCode="_-* #,##0_р_._-;\-* #,##0_р_._-;_-* &quot;-&quot;??_р_._-;_-@_-"/>
    <numFmt numFmtId="170" formatCode="_-* #,##0.000_р_._-;\-* #,##0.000_р_._-;_-* &quot;-&quot;??_р_._-;_-@_-"/>
    <numFmt numFmtId="171" formatCode="#,##0.0"/>
    <numFmt numFmtId="172" formatCode="0.0"/>
    <numFmt numFmtId="173" formatCode="_-* #,##0.0_р_._-;\-* #,##0.0_р_._-;_-* &quot;-&quot;??_р_._-;_-@_-"/>
    <numFmt numFmtId="174" formatCode="#,##0.00_ ;\-#,##0.00\ "/>
  </numFmts>
  <fonts count="41" x14ac:knownFonts="1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3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9"/>
      <color indexed="81"/>
      <name val="Tahoma"/>
      <family val="2"/>
      <charset val="204"/>
    </font>
    <font>
      <sz val="40"/>
      <name val="Times New Roman"/>
      <family val="1"/>
      <charset val="204"/>
    </font>
    <font>
      <u/>
      <sz val="4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 applyNumberFormat="0" applyBorder="0" applyProtection="0">
      <alignment horizontal="left" vertical="center" wrapText="1"/>
    </xf>
    <xf numFmtId="168" fontId="13" fillId="0" borderId="0" applyBorder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4" fillId="8" borderId="2" applyNumberFormat="0" applyAlignment="0" applyProtection="0"/>
    <xf numFmtId="0" fontId="15" fillId="9" borderId="3" applyNumberFormat="0" applyAlignment="0" applyProtection="0"/>
    <xf numFmtId="0" fontId="16" fillId="9" borderId="2" applyNumberFormat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21" fillId="10" borderId="8" applyNumberFormat="0" applyAlignment="0" applyProtection="0"/>
    <xf numFmtId="0" fontId="22" fillId="0" borderId="0" applyNumberFormat="0" applyFill="0" applyBorder="0" applyAlignment="0" applyProtection="0"/>
    <xf numFmtId="0" fontId="23" fillId="11" borderId="0" applyNumberFormat="0" applyBorder="0" applyAlignment="0" applyProtection="0"/>
    <xf numFmtId="0" fontId="8" fillId="0" borderId="0"/>
    <xf numFmtId="0" fontId="1" fillId="0" borderId="0" applyNumberFormat="0" applyBorder="0" applyProtection="0">
      <alignment horizontal="left" vertical="center" wrapText="1"/>
    </xf>
    <xf numFmtId="0" fontId="1" fillId="0" borderId="0" applyNumberFormat="0" applyBorder="0" applyProtection="0">
      <alignment horizontal="left" vertical="center" wrapText="1"/>
    </xf>
    <xf numFmtId="0" fontId="24" fillId="12" borderId="0" applyNumberFormat="0" applyBorder="0" applyAlignment="0" applyProtection="0"/>
    <xf numFmtId="0" fontId="25" fillId="0" borderId="0" applyNumberFormat="0" applyFill="0" applyBorder="0" applyAlignment="0" applyProtection="0"/>
    <xf numFmtId="0" fontId="11" fillId="13" borderId="9" applyNumberFormat="0" applyFont="0" applyAlignment="0" applyProtection="0"/>
    <xf numFmtId="0" fontId="26" fillId="0" borderId="10" applyNumberFormat="0" applyFill="0" applyAlignment="0" applyProtection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>
      <alignment horizontal="left" vertical="center" wrapText="1"/>
    </xf>
    <xf numFmtId="164" fontId="1" fillId="0" borderId="0" applyFont="0" applyFill="0" applyBorder="0" applyAlignment="0" applyProtection="0">
      <alignment horizontal="left" vertical="center" wrapText="1"/>
    </xf>
    <xf numFmtId="0" fontId="28" fillId="14" borderId="0" applyNumberFormat="0" applyBorder="0" applyAlignment="0" applyProtection="0"/>
    <xf numFmtId="0" fontId="1" fillId="0" borderId="0" applyNumberFormat="0" applyBorder="0" applyProtection="0">
      <alignment horizontal="left" vertical="center"/>
    </xf>
  </cellStyleXfs>
  <cellXfs count="191">
    <xf numFmtId="0" fontId="0" fillId="0" borderId="0" xfId="0">
      <alignment horizontal="left" vertical="center" wrapText="1"/>
    </xf>
    <xf numFmtId="0" fontId="0" fillId="15" borderId="0" xfId="0" applyFill="1" applyAlignment="1">
      <alignment horizontal="left" vertical="top" wrapText="1"/>
    </xf>
    <xf numFmtId="0" fontId="0" fillId="15" borderId="0" xfId="0" applyFill="1" applyAlignment="1">
      <alignment horizontal="center" vertical="top" wrapText="1"/>
    </xf>
    <xf numFmtId="0" fontId="0" fillId="15" borderId="0" xfId="0" applyFill="1" applyAlignment="1">
      <alignment horizontal="right" vertical="top" wrapText="1"/>
    </xf>
    <xf numFmtId="164" fontId="1" fillId="15" borderId="0" xfId="27" applyNumberFormat="1" applyFont="1" applyFill="1" applyAlignment="1">
      <alignment horizontal="right" vertical="top" wrapText="1"/>
    </xf>
    <xf numFmtId="0" fontId="7" fillId="15" borderId="0" xfId="0" applyFont="1" applyFill="1" applyAlignment="1">
      <alignment vertical="top" wrapText="1"/>
    </xf>
    <xf numFmtId="0" fontId="0" fillId="15" borderId="0" xfId="0" applyFill="1">
      <alignment horizontal="left" vertical="center" wrapText="1"/>
    </xf>
    <xf numFmtId="0" fontId="0" fillId="15" borderId="0" xfId="0" applyFill="1" applyAlignment="1">
      <alignment horizontal="center" vertical="center" wrapText="1"/>
    </xf>
    <xf numFmtId="0" fontId="0" fillId="15" borderId="0" xfId="0" applyFill="1" applyAlignment="1">
      <alignment horizontal="right" vertical="center" wrapText="1"/>
    </xf>
    <xf numFmtId="164" fontId="1" fillId="15" borderId="0" xfId="27" applyNumberFormat="1" applyFont="1" applyFill="1" applyAlignment="1">
      <alignment horizontal="right" vertical="center" wrapText="1"/>
    </xf>
    <xf numFmtId="0" fontId="5" fillId="15" borderId="0" xfId="0" applyFont="1" applyFill="1">
      <alignment horizontal="left" vertical="center" wrapText="1"/>
    </xf>
    <xf numFmtId="0" fontId="5" fillId="15" borderId="0" xfId="0" applyFont="1" applyFill="1" applyAlignment="1">
      <alignment horizontal="center" vertical="center" wrapText="1"/>
    </xf>
    <xf numFmtId="0" fontId="5" fillId="15" borderId="0" xfId="0" applyFont="1" applyFill="1" applyAlignment="1">
      <alignment horizontal="right" vertical="center" wrapText="1"/>
    </xf>
    <xf numFmtId="164" fontId="5" fillId="15" borderId="0" xfId="27" applyNumberFormat="1" applyFont="1" applyFill="1" applyAlignment="1">
      <alignment horizontal="right" vertical="center" wrapText="1"/>
    </xf>
    <xf numFmtId="0" fontId="36" fillId="15" borderId="0" xfId="0" applyFont="1" applyFill="1" applyAlignment="1">
      <alignment horizontal="right" vertical="center" wrapText="1"/>
    </xf>
    <xf numFmtId="164" fontId="36" fillId="15" borderId="0" xfId="27" applyNumberFormat="1" applyFont="1" applyFill="1" applyAlignment="1">
      <alignment horizontal="right" vertical="center" wrapText="1"/>
    </xf>
    <xf numFmtId="0" fontId="3" fillId="15" borderId="0" xfId="0" applyFont="1" applyFill="1" applyAlignment="1">
      <alignment horizontal="center" vertical="center" wrapText="1"/>
    </xf>
    <xf numFmtId="0" fontId="3" fillId="15" borderId="0" xfId="0" applyFont="1" applyFill="1" applyAlignment="1">
      <alignment horizontal="right" vertical="center" wrapText="1"/>
    </xf>
    <xf numFmtId="164" fontId="3" fillId="15" borderId="0" xfId="27" applyNumberFormat="1" applyFont="1" applyFill="1" applyAlignment="1">
      <alignment horizontal="right" vertical="center" wrapText="1"/>
    </xf>
    <xf numFmtId="164" fontId="6" fillId="15" borderId="1" xfId="27" applyNumberFormat="1" applyFont="1" applyFill="1" applyBorder="1" applyAlignment="1">
      <alignment horizontal="right" vertical="center" wrapText="1"/>
    </xf>
    <xf numFmtId="164" fontId="6" fillId="15" borderId="1" xfId="27" applyFont="1" applyFill="1" applyBorder="1" applyAlignment="1">
      <alignment horizontal="center" vertical="center" wrapText="1"/>
    </xf>
    <xf numFmtId="164" fontId="0" fillId="15" borderId="0" xfId="0" applyNumberFormat="1" applyFill="1">
      <alignment horizontal="left" vertical="center" wrapText="1"/>
    </xf>
    <xf numFmtId="171" fontId="5" fillId="15" borderId="1" xfId="0" applyNumberFormat="1" applyFont="1" applyFill="1" applyBorder="1" applyAlignment="1">
      <alignment horizontal="right" vertical="center" wrapText="1"/>
    </xf>
    <xf numFmtId="4" fontId="5" fillId="15" borderId="1" xfId="0" applyNumberFormat="1" applyFont="1" applyFill="1" applyBorder="1" applyAlignment="1">
      <alignment horizontal="right" vertical="center" wrapText="1"/>
    </xf>
    <xf numFmtId="0" fontId="5" fillId="15" borderId="1" xfId="0" applyFont="1" applyFill="1" applyBorder="1" applyAlignment="1">
      <alignment horizontal="left" vertical="center" wrapText="1"/>
    </xf>
    <xf numFmtId="169" fontId="5" fillId="15" borderId="1" xfId="27" applyNumberFormat="1" applyFont="1" applyFill="1" applyBorder="1" applyAlignment="1">
      <alignment horizontal="center" vertical="center" wrapText="1"/>
    </xf>
    <xf numFmtId="173" fontId="5" fillId="15" borderId="1" xfId="0" applyNumberFormat="1" applyFont="1" applyFill="1" applyBorder="1" applyAlignment="1">
      <alignment horizontal="right" vertical="center" wrapText="1"/>
    </xf>
    <xf numFmtId="164" fontId="5" fillId="15" borderId="1" xfId="0" applyNumberFormat="1" applyFont="1" applyFill="1" applyBorder="1" applyAlignment="1">
      <alignment horizontal="right" vertical="center" wrapText="1"/>
    </xf>
    <xf numFmtId="164" fontId="6" fillId="15" borderId="1" xfId="27" applyFont="1" applyFill="1" applyBorder="1" applyAlignment="1">
      <alignment horizontal="right" vertical="center" wrapText="1"/>
    </xf>
    <xf numFmtId="173" fontId="6" fillId="15" borderId="1" xfId="27" applyNumberFormat="1" applyFont="1" applyFill="1" applyBorder="1" applyAlignment="1">
      <alignment horizontal="right" vertical="center" wrapText="1"/>
    </xf>
    <xf numFmtId="0" fontId="2" fillId="15" borderId="0" xfId="0" applyFont="1" applyFill="1" applyBorder="1" applyAlignment="1">
      <alignment horizontal="center" vertical="center" wrapText="1"/>
    </xf>
    <xf numFmtId="171" fontId="5" fillId="15" borderId="1" xfId="0" applyNumberFormat="1" applyFont="1" applyFill="1" applyBorder="1" applyAlignment="1">
      <alignment horizontal="right" wrapText="1"/>
    </xf>
    <xf numFmtId="166" fontId="5" fillId="15" borderId="1" xfId="0" applyNumberFormat="1" applyFont="1" applyFill="1" applyBorder="1" applyAlignment="1">
      <alignment horizontal="right" vertical="center" wrapText="1"/>
    </xf>
    <xf numFmtId="166" fontId="5" fillId="15" borderId="1" xfId="27" applyNumberFormat="1" applyFont="1" applyFill="1" applyBorder="1" applyAlignment="1">
      <alignment horizontal="right" vertical="center" wrapText="1"/>
    </xf>
    <xf numFmtId="165" fontId="5" fillId="15" borderId="1" xfId="0" applyNumberFormat="1" applyFont="1" applyFill="1" applyBorder="1" applyAlignment="1">
      <alignment horizontal="right" vertical="center"/>
    </xf>
    <xf numFmtId="164" fontId="5" fillId="15" borderId="1" xfId="27" applyFont="1" applyFill="1" applyBorder="1" applyAlignment="1">
      <alignment horizontal="right" vertical="center" wrapText="1"/>
    </xf>
    <xf numFmtId="171" fontId="5" fillId="15" borderId="1" xfId="0" applyNumberFormat="1" applyFont="1" applyFill="1" applyBorder="1" applyAlignment="1">
      <alignment horizontal="right"/>
    </xf>
    <xf numFmtId="0" fontId="5" fillId="15" borderId="1" xfId="0" applyFont="1" applyFill="1" applyBorder="1" applyAlignment="1">
      <alignment wrapText="1"/>
    </xf>
    <xf numFmtId="4" fontId="5" fillId="15" borderId="1" xfId="0" applyNumberFormat="1" applyFont="1" applyFill="1" applyBorder="1" applyAlignment="1"/>
    <xf numFmtId="0" fontId="5" fillId="15" borderId="1" xfId="0" applyFont="1" applyFill="1" applyBorder="1" applyAlignment="1">
      <alignment vertical="center" wrapText="1"/>
    </xf>
    <xf numFmtId="0" fontId="5" fillId="15" borderId="1" xfId="0" applyFont="1" applyFill="1" applyBorder="1" applyAlignment="1">
      <alignment horizontal="right" vertical="center" wrapText="1"/>
    </xf>
    <xf numFmtId="171" fontId="5" fillId="15" borderId="1" xfId="27" applyNumberFormat="1" applyFont="1" applyFill="1" applyBorder="1" applyAlignment="1">
      <alignment horizontal="right" vertical="center"/>
    </xf>
    <xf numFmtId="164" fontId="5" fillId="15" borderId="1" xfId="27" applyNumberFormat="1" applyFont="1" applyFill="1" applyBorder="1" applyAlignment="1">
      <alignment horizontal="right" vertical="center" wrapText="1"/>
    </xf>
    <xf numFmtId="165" fontId="5" fillId="15" borderId="1" xfId="0" applyNumberFormat="1" applyFont="1" applyFill="1" applyBorder="1" applyAlignment="1">
      <alignment horizontal="right"/>
    </xf>
    <xf numFmtId="0" fontId="5" fillId="15" borderId="1" xfId="0" applyFont="1" applyFill="1" applyBorder="1">
      <alignment horizontal="left" vertical="center" wrapText="1"/>
    </xf>
    <xf numFmtId="173" fontId="5" fillId="15" borderId="1" xfId="27" applyNumberFormat="1" applyFont="1" applyFill="1" applyBorder="1" applyAlignment="1">
      <alignment horizontal="right" vertical="center" wrapText="1"/>
    </xf>
    <xf numFmtId="167" fontId="5" fillId="15" borderId="1" xfId="27" applyNumberFormat="1" applyFont="1" applyFill="1" applyBorder="1" applyAlignment="1">
      <alignment horizontal="right" vertical="center" wrapText="1"/>
    </xf>
    <xf numFmtId="0" fontId="5" fillId="15" borderId="1" xfId="0" applyNumberFormat="1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left" vertical="center"/>
    </xf>
    <xf numFmtId="0" fontId="31" fillId="15" borderId="1" xfId="0" applyFont="1" applyFill="1" applyBorder="1" applyAlignment="1">
      <alignment horizontal="center" vertical="center"/>
    </xf>
    <xf numFmtId="0" fontId="5" fillId="15" borderId="1" xfId="20" applyFont="1" applyFill="1" applyBorder="1" applyAlignment="1">
      <alignment horizontal="left" vertical="center" wrapText="1"/>
    </xf>
    <xf numFmtId="171" fontId="5" fillId="15" borderId="1" xfId="0" applyNumberFormat="1" applyFont="1" applyFill="1" applyBorder="1" applyAlignment="1">
      <alignment horizontal="right" vertical="center"/>
    </xf>
    <xf numFmtId="4" fontId="5" fillId="15" borderId="1" xfId="0" applyNumberFormat="1" applyFont="1" applyFill="1" applyBorder="1" applyAlignment="1">
      <alignment horizontal="right" vertical="center"/>
    </xf>
    <xf numFmtId="0" fontId="5" fillId="15" borderId="1" xfId="0" applyFont="1" applyFill="1" applyBorder="1" applyAlignment="1">
      <alignment horizontal="right" vertical="center"/>
    </xf>
    <xf numFmtId="164" fontId="5" fillId="15" borderId="1" xfId="27" applyFont="1" applyFill="1" applyBorder="1" applyAlignment="1">
      <alignment horizontal="right" vertical="center"/>
    </xf>
    <xf numFmtId="0" fontId="5" fillId="15" borderId="1" xfId="21" applyFont="1" applyFill="1" applyBorder="1" applyAlignment="1">
      <alignment horizontal="left" vertical="top" wrapText="1"/>
    </xf>
    <xf numFmtId="0" fontId="5" fillId="15" borderId="1" xfId="21" applyFont="1" applyFill="1" applyBorder="1" applyAlignment="1">
      <alignment horizontal="center" vertical="center" wrapText="1"/>
    </xf>
    <xf numFmtId="4" fontId="5" fillId="15" borderId="1" xfId="21" applyNumberFormat="1" applyFont="1" applyFill="1" applyBorder="1" applyAlignment="1">
      <alignment horizontal="right" vertical="center" wrapText="1"/>
    </xf>
    <xf numFmtId="164" fontId="5" fillId="15" borderId="1" xfId="27" applyNumberFormat="1" applyFont="1" applyFill="1" applyBorder="1" applyAlignment="1">
      <alignment horizontal="center" vertical="center" wrapText="1"/>
    </xf>
    <xf numFmtId="0" fontId="5" fillId="15" borderId="1" xfId="21" applyFont="1" applyFill="1" applyBorder="1" applyAlignment="1">
      <alignment horizontal="left" vertical="center" wrapText="1"/>
    </xf>
    <xf numFmtId="173" fontId="6" fillId="15" borderId="1" xfId="21" applyNumberFormat="1" applyFont="1" applyFill="1" applyBorder="1" applyAlignment="1">
      <alignment horizontal="right" vertical="center" wrapText="1"/>
    </xf>
    <xf numFmtId="4" fontId="6" fillId="15" borderId="1" xfId="21" applyNumberFormat="1" applyFont="1" applyFill="1" applyBorder="1" applyAlignment="1">
      <alignment horizontal="right" vertical="center" wrapText="1"/>
    </xf>
    <xf numFmtId="0" fontId="30" fillId="15" borderId="1" xfId="0" applyFont="1" applyFill="1" applyBorder="1" applyAlignment="1">
      <alignment horizontal="center" vertical="center"/>
    </xf>
    <xf numFmtId="0" fontId="31" fillId="15" borderId="1" xfId="0" applyFont="1" applyFill="1" applyBorder="1" applyAlignment="1">
      <alignment vertical="center"/>
    </xf>
    <xf numFmtId="0" fontId="31" fillId="15" borderId="1" xfId="0" applyFont="1" applyFill="1" applyBorder="1" applyAlignment="1">
      <alignment horizontal="center" vertical="center" wrapText="1"/>
    </xf>
    <xf numFmtId="0" fontId="31" fillId="15" borderId="1" xfId="0" applyNumberFormat="1" applyFont="1" applyFill="1" applyBorder="1" applyAlignment="1">
      <alignment horizontal="right" vertical="center"/>
    </xf>
    <xf numFmtId="171" fontId="31" fillId="15" borderId="1" xfId="0" applyNumberFormat="1" applyFont="1" applyFill="1" applyBorder="1" applyAlignment="1">
      <alignment horizontal="right" vertical="center"/>
    </xf>
    <xf numFmtId="4" fontId="31" fillId="15" borderId="1" xfId="0" applyNumberFormat="1" applyFont="1" applyFill="1" applyBorder="1" applyAlignment="1">
      <alignment horizontal="right" vertical="center" wrapText="1"/>
    </xf>
    <xf numFmtId="164" fontId="31" fillId="15" borderId="1" xfId="0" applyNumberFormat="1" applyFont="1" applyFill="1" applyBorder="1" applyAlignment="1">
      <alignment horizontal="right" vertical="center" wrapText="1"/>
    </xf>
    <xf numFmtId="0" fontId="31" fillId="15" borderId="1" xfId="0" applyFont="1" applyFill="1" applyBorder="1" applyAlignment="1">
      <alignment vertical="center" wrapText="1"/>
    </xf>
    <xf numFmtId="172" fontId="31" fillId="15" borderId="1" xfId="0" applyNumberFormat="1" applyFont="1" applyFill="1" applyBorder="1" applyAlignment="1">
      <alignment horizontal="right" vertical="center"/>
    </xf>
    <xf numFmtId="0" fontId="30" fillId="15" borderId="1" xfId="0" applyFont="1" applyFill="1" applyBorder="1" applyAlignment="1">
      <alignment horizontal="right" vertical="center"/>
    </xf>
    <xf numFmtId="164" fontId="31" fillId="15" borderId="1" xfId="27" applyNumberFormat="1" applyFont="1" applyFill="1" applyBorder="1" applyAlignment="1">
      <alignment horizontal="right" vertical="center" wrapText="1"/>
    </xf>
    <xf numFmtId="0" fontId="31" fillId="15" borderId="1" xfId="0" applyFont="1" applyFill="1" applyBorder="1" applyAlignment="1">
      <alignment wrapText="1"/>
    </xf>
    <xf numFmtId="4" fontId="30" fillId="15" borderId="1" xfId="0" applyNumberFormat="1" applyFont="1" applyFill="1" applyBorder="1" applyAlignment="1">
      <alignment horizontal="right" vertical="center"/>
    </xf>
    <xf numFmtId="164" fontId="5" fillId="15" borderId="1" xfId="27" applyFont="1" applyFill="1" applyBorder="1" applyAlignment="1">
      <alignment horizontal="left" vertical="center" wrapText="1"/>
    </xf>
    <xf numFmtId="164" fontId="5" fillId="15" borderId="1" xfId="27" applyFont="1" applyFill="1" applyBorder="1" applyAlignment="1">
      <alignment horizontal="center" vertical="center" wrapText="1"/>
    </xf>
    <xf numFmtId="164" fontId="5" fillId="15" borderId="1" xfId="27" applyFont="1" applyFill="1" applyBorder="1" applyAlignment="1"/>
    <xf numFmtId="0" fontId="31" fillId="15" borderId="1" xfId="0" applyFont="1" applyFill="1" applyBorder="1" applyAlignment="1">
      <alignment horizontal="left" vertical="center"/>
    </xf>
    <xf numFmtId="0" fontId="31" fillId="15" borderId="1" xfId="0" applyFont="1" applyFill="1" applyBorder="1" applyAlignment="1">
      <alignment horizontal="right" vertical="center" wrapText="1"/>
    </xf>
    <xf numFmtId="173" fontId="31" fillId="15" borderId="1" xfId="27" applyNumberFormat="1" applyFont="1" applyFill="1" applyBorder="1" applyAlignment="1">
      <alignment horizontal="right" vertical="center" wrapText="1"/>
    </xf>
    <xf numFmtId="173" fontId="5" fillId="15" borderId="1" xfId="27" applyNumberFormat="1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center"/>
    </xf>
    <xf numFmtId="0" fontId="5" fillId="15" borderId="1" xfId="0" applyFont="1" applyFill="1" applyBorder="1" applyAlignment="1"/>
    <xf numFmtId="164" fontId="5" fillId="15" borderId="1" xfId="27" applyFont="1" applyFill="1" applyBorder="1" applyAlignment="1">
      <alignment horizontal="right"/>
    </xf>
    <xf numFmtId="4" fontId="5" fillId="15" borderId="1" xfId="0" applyNumberFormat="1" applyFont="1" applyFill="1" applyBorder="1" applyAlignment="1">
      <alignment horizontal="right"/>
    </xf>
    <xf numFmtId="0" fontId="9" fillId="15" borderId="1" xfId="0" applyFont="1" applyFill="1" applyBorder="1" applyAlignment="1">
      <alignment vertical="center"/>
    </xf>
    <xf numFmtId="0" fontId="9" fillId="15" borderId="1" xfId="0" applyFont="1" applyFill="1" applyBorder="1" applyAlignment="1">
      <alignment horizontal="center" vertical="center" wrapText="1"/>
    </xf>
    <xf numFmtId="171" fontId="9" fillId="15" borderId="1" xfId="0" applyNumberFormat="1" applyFont="1" applyFill="1" applyBorder="1" applyAlignment="1">
      <alignment horizontal="right" vertical="center"/>
    </xf>
    <xf numFmtId="4" fontId="9" fillId="15" borderId="1" xfId="0" applyNumberFormat="1" applyFont="1" applyFill="1" applyBorder="1" applyAlignment="1">
      <alignment horizontal="right" vertical="center" wrapText="1"/>
    </xf>
    <xf numFmtId="164" fontId="9" fillId="15" borderId="1" xfId="0" applyNumberFormat="1" applyFont="1" applyFill="1" applyBorder="1" applyAlignment="1">
      <alignment horizontal="right" vertical="center" wrapText="1"/>
    </xf>
    <xf numFmtId="4" fontId="31" fillId="15" borderId="1" xfId="0" applyNumberFormat="1" applyFont="1" applyFill="1" applyBorder="1" applyAlignment="1">
      <alignment horizontal="right" vertical="center"/>
    </xf>
    <xf numFmtId="0" fontId="5" fillId="15" borderId="1" xfId="0" applyFont="1" applyFill="1" applyBorder="1" applyAlignment="1">
      <alignment horizontal="center" wrapText="1"/>
    </xf>
    <xf numFmtId="173" fontId="5" fillId="15" borderId="1" xfId="27" applyNumberFormat="1" applyFont="1" applyFill="1" applyBorder="1" applyAlignment="1">
      <alignment horizontal="right" wrapText="1"/>
    </xf>
    <xf numFmtId="4" fontId="5" fillId="15" borderId="1" xfId="0" applyNumberFormat="1" applyFont="1" applyFill="1" applyBorder="1" applyAlignment="1">
      <alignment wrapText="1"/>
    </xf>
    <xf numFmtId="172" fontId="5" fillId="15" borderId="1" xfId="0" applyNumberFormat="1" applyFont="1" applyFill="1" applyBorder="1" applyAlignment="1">
      <alignment horizontal="right" wrapText="1"/>
    </xf>
    <xf numFmtId="0" fontId="5" fillId="15" borderId="1" xfId="0" applyFont="1" applyFill="1" applyBorder="1" applyAlignment="1">
      <alignment horizontal="right" wrapText="1"/>
    </xf>
    <xf numFmtId="0" fontId="30" fillId="15" borderId="1" xfId="0" applyFont="1" applyFill="1" applyBorder="1" applyAlignment="1">
      <alignment horizontal="center" vertical="center" wrapText="1"/>
    </xf>
    <xf numFmtId="173" fontId="30" fillId="15" borderId="1" xfId="27" applyNumberFormat="1" applyFont="1" applyFill="1" applyBorder="1" applyAlignment="1">
      <alignment horizontal="right" vertical="center" wrapText="1"/>
    </xf>
    <xf numFmtId="164" fontId="30" fillId="15" borderId="1" xfId="27" applyFont="1" applyFill="1" applyBorder="1" applyAlignment="1">
      <alignment horizontal="right" vertical="center" wrapText="1"/>
    </xf>
    <xf numFmtId="0" fontId="5" fillId="15" borderId="0" xfId="0" applyFont="1" applyFill="1" applyBorder="1" applyAlignment="1">
      <alignment horizontal="left" wrapText="1"/>
    </xf>
    <xf numFmtId="164" fontId="5" fillId="15" borderId="0" xfId="0" applyNumberFormat="1" applyFont="1" applyFill="1" applyBorder="1" applyAlignment="1">
      <alignment horizontal="left" wrapText="1"/>
    </xf>
    <xf numFmtId="49" fontId="5" fillId="15" borderId="0" xfId="0" applyNumberFormat="1" applyFont="1" applyFill="1" applyAlignment="1">
      <alignment vertical="center" wrapText="1"/>
    </xf>
    <xf numFmtId="164" fontId="5" fillId="15" borderId="0" xfId="27" applyFont="1" applyFill="1">
      <alignment horizontal="left" vertical="center" wrapText="1"/>
    </xf>
    <xf numFmtId="164" fontId="5" fillId="15" borderId="0" xfId="0" applyNumberFormat="1" applyFont="1" applyFill="1" applyAlignment="1">
      <alignment horizontal="right" vertical="center" wrapText="1"/>
    </xf>
    <xf numFmtId="0" fontId="32" fillId="15" borderId="0" xfId="0" applyFont="1" applyFill="1" applyAlignment="1">
      <alignment horizontal="right" vertical="center" wrapText="1"/>
    </xf>
    <xf numFmtId="164" fontId="1" fillId="15" borderId="0" xfId="27" applyNumberFormat="1" applyFont="1" applyFill="1">
      <alignment horizontal="left" vertical="center" wrapText="1"/>
    </xf>
    <xf numFmtId="0" fontId="0" fillId="15" borderId="11" xfId="0" applyFill="1" applyBorder="1">
      <alignment horizontal="left" vertical="center" wrapText="1"/>
    </xf>
    <xf numFmtId="49" fontId="5" fillId="15" borderId="11" xfId="0" applyNumberFormat="1" applyFont="1" applyFill="1" applyBorder="1" applyAlignment="1">
      <alignment vertical="center" wrapText="1"/>
    </xf>
    <xf numFmtId="49" fontId="5" fillId="15" borderId="11" xfId="0" applyNumberFormat="1" applyFont="1" applyFill="1" applyBorder="1">
      <alignment horizontal="left" vertical="center" wrapText="1"/>
    </xf>
    <xf numFmtId="49" fontId="5" fillId="15" borderId="0" xfId="0" applyNumberFormat="1" applyFont="1" applyFill="1" applyBorder="1" applyAlignment="1">
      <alignment vertical="center" wrapText="1"/>
    </xf>
    <xf numFmtId="49" fontId="5" fillId="15" borderId="0" xfId="0" applyNumberFormat="1" applyFont="1" applyFill="1" applyBorder="1">
      <alignment horizontal="left" vertical="center" wrapText="1"/>
    </xf>
    <xf numFmtId="0" fontId="0" fillId="15" borderId="0" xfId="0" applyFill="1" applyBorder="1">
      <alignment horizontal="left" vertical="center" wrapText="1"/>
    </xf>
    <xf numFmtId="0" fontId="0" fillId="15" borderId="0" xfId="0" applyFill="1" applyBorder="1" applyAlignment="1">
      <alignment horizontal="center" vertical="center" wrapText="1"/>
    </xf>
    <xf numFmtId="164" fontId="1" fillId="15" borderId="0" xfId="27" applyNumberFormat="1" applyFont="1" applyFill="1" applyBorder="1">
      <alignment horizontal="left" vertical="center" wrapText="1"/>
    </xf>
    <xf numFmtId="164" fontId="0" fillId="15" borderId="0" xfId="0" applyNumberFormat="1" applyFill="1" applyBorder="1">
      <alignment horizontal="left" vertical="center" wrapText="1"/>
    </xf>
    <xf numFmtId="0" fontId="0" fillId="15" borderId="1" xfId="0" applyFill="1" applyBorder="1">
      <alignment horizontal="left" vertical="center" wrapText="1"/>
    </xf>
    <xf numFmtId="0" fontId="5" fillId="15" borderId="1" xfId="27" applyNumberFormat="1" applyFont="1" applyFill="1" applyBorder="1" applyAlignment="1">
      <alignment horizontal="center" vertical="center" wrapText="1"/>
    </xf>
    <xf numFmtId="0" fontId="0" fillId="15" borderId="1" xfId="0" applyFont="1" applyFill="1" applyBorder="1">
      <alignment horizontal="left" vertical="center" wrapText="1"/>
    </xf>
    <xf numFmtId="0" fontId="2" fillId="15" borderId="1" xfId="0" applyFont="1" applyFill="1" applyBorder="1" applyAlignment="1">
      <alignment horizontal="center" vertical="center" wrapText="1"/>
    </xf>
    <xf numFmtId="164" fontId="5" fillId="15" borderId="1" xfId="27" applyFont="1" applyFill="1" applyBorder="1" applyAlignment="1">
      <alignment vertical="center" wrapText="1"/>
    </xf>
    <xf numFmtId="171" fontId="5" fillId="15" borderId="1" xfId="27" applyNumberFormat="1" applyFont="1" applyFill="1" applyBorder="1" applyAlignment="1">
      <alignment horizontal="right" vertical="center" wrapText="1"/>
    </xf>
    <xf numFmtId="164" fontId="29" fillId="15" borderId="1" xfId="27" applyFont="1" applyFill="1" applyBorder="1" applyAlignment="1">
      <alignment horizontal="right" vertical="center"/>
    </xf>
    <xf numFmtId="164" fontId="29" fillId="15" borderId="1" xfId="27" applyNumberFormat="1" applyFont="1" applyFill="1" applyBorder="1" applyAlignment="1">
      <alignment horizontal="right" vertical="center"/>
    </xf>
    <xf numFmtId="170" fontId="5" fillId="15" borderId="1" xfId="27" applyNumberFormat="1" applyFont="1" applyFill="1" applyBorder="1" applyAlignment="1">
      <alignment horizontal="right" vertical="center" wrapText="1"/>
    </xf>
    <xf numFmtId="164" fontId="5" fillId="15" borderId="1" xfId="20" applyNumberFormat="1" applyFont="1" applyFill="1" applyBorder="1" applyAlignment="1">
      <alignment horizontal="right" vertical="center" wrapText="1"/>
    </xf>
    <xf numFmtId="171" fontId="5" fillId="15" borderId="1" xfId="20" applyNumberFormat="1" applyFont="1" applyFill="1" applyBorder="1" applyAlignment="1">
      <alignment horizontal="right" vertical="center" wrapText="1"/>
    </xf>
    <xf numFmtId="172" fontId="5" fillId="15" borderId="1" xfId="0" applyNumberFormat="1" applyFont="1" applyFill="1" applyBorder="1" applyAlignment="1">
      <alignment horizontal="right" vertical="center" wrapText="1"/>
    </xf>
    <xf numFmtId="172" fontId="31" fillId="15" borderId="1" xfId="27" applyNumberFormat="1" applyFont="1" applyFill="1" applyBorder="1" applyAlignment="1">
      <alignment horizontal="right" vertical="center"/>
    </xf>
    <xf numFmtId="164" fontId="5" fillId="15" borderId="1" xfId="21" applyNumberFormat="1" applyFont="1" applyFill="1" applyBorder="1" applyAlignment="1">
      <alignment horizontal="right" vertical="center" wrapText="1"/>
    </xf>
    <xf numFmtId="164" fontId="5" fillId="15" borderId="1" xfId="0" applyNumberFormat="1" applyFont="1" applyFill="1" applyBorder="1" applyAlignment="1">
      <alignment horizontal="center" vertical="center" wrapText="1"/>
    </xf>
    <xf numFmtId="169" fontId="6" fillId="15" borderId="1" xfId="27" applyNumberFormat="1" applyFont="1" applyFill="1" applyBorder="1" applyAlignment="1">
      <alignment horizontal="right" vertical="center" wrapText="1"/>
    </xf>
    <xf numFmtId="171" fontId="5" fillId="15" borderId="1" xfId="27" applyNumberFormat="1" applyFont="1" applyFill="1" applyBorder="1" applyAlignment="1"/>
    <xf numFmtId="171" fontId="6" fillId="15" borderId="1" xfId="27" applyNumberFormat="1" applyFont="1" applyFill="1" applyBorder="1" applyAlignment="1">
      <alignment horizontal="right" vertical="center" wrapText="1"/>
    </xf>
    <xf numFmtId="4" fontId="6" fillId="15" borderId="1" xfId="27" applyNumberFormat="1" applyFont="1" applyFill="1" applyBorder="1" applyAlignment="1">
      <alignment horizontal="right" vertical="center" wrapText="1"/>
    </xf>
    <xf numFmtId="2" fontId="5" fillId="15" borderId="1" xfId="0" applyNumberFormat="1" applyFont="1" applyFill="1" applyBorder="1" applyAlignment="1">
      <alignment horizontal="right" wrapText="1"/>
    </xf>
    <xf numFmtId="164" fontId="30" fillId="15" borderId="1" xfId="27" applyNumberFormat="1" applyFont="1" applyFill="1" applyBorder="1" applyAlignment="1">
      <alignment horizontal="right" vertical="center" wrapText="1"/>
    </xf>
    <xf numFmtId="1" fontId="0" fillId="15" borderId="0" xfId="0" applyNumberFormat="1" applyFill="1" applyAlignment="1">
      <alignment horizontal="center" vertical="top" wrapText="1"/>
    </xf>
    <xf numFmtId="1" fontId="0" fillId="15" borderId="0" xfId="0" applyNumberFormat="1" applyFill="1" applyAlignment="1">
      <alignment horizontal="center" vertical="center" wrapText="1"/>
    </xf>
    <xf numFmtId="1" fontId="5" fillId="15" borderId="0" xfId="0" applyNumberFormat="1" applyFont="1" applyFill="1" applyAlignment="1">
      <alignment horizontal="center" vertical="center" wrapText="1"/>
    </xf>
    <xf numFmtId="1" fontId="36" fillId="15" borderId="0" xfId="0" applyNumberFormat="1" applyFont="1" applyFill="1" applyAlignment="1">
      <alignment horizontal="center" vertical="center" wrapText="1"/>
    </xf>
    <xf numFmtId="1" fontId="3" fillId="15" borderId="0" xfId="0" applyNumberFormat="1" applyFont="1" applyFill="1" applyAlignment="1">
      <alignment horizontal="center" vertical="center" wrapText="1"/>
    </xf>
    <xf numFmtId="1" fontId="5" fillId="15" borderId="1" xfId="0" applyNumberFormat="1" applyFont="1" applyFill="1" applyBorder="1" applyAlignment="1">
      <alignment horizontal="center" vertical="center" wrapText="1"/>
    </xf>
    <xf numFmtId="1" fontId="5" fillId="15" borderId="1" xfId="27" applyNumberFormat="1" applyFont="1" applyFill="1" applyBorder="1" applyAlignment="1">
      <alignment horizontal="center" vertical="center" wrapText="1"/>
    </xf>
    <xf numFmtId="1" fontId="6" fillId="15" borderId="1" xfId="0" applyNumberFormat="1" applyFont="1" applyFill="1" applyBorder="1" applyAlignment="1">
      <alignment horizontal="center" vertical="center" wrapText="1"/>
    </xf>
    <xf numFmtId="1" fontId="5" fillId="15" borderId="1" xfId="20" applyNumberFormat="1" applyFont="1" applyFill="1" applyBorder="1" applyAlignment="1">
      <alignment horizontal="center" vertical="center" wrapText="1"/>
    </xf>
    <xf numFmtId="1" fontId="5" fillId="15" borderId="1" xfId="21" applyNumberFormat="1" applyFont="1" applyFill="1" applyBorder="1" applyAlignment="1">
      <alignment horizontal="center" vertical="center" wrapText="1"/>
    </xf>
    <xf numFmtId="1" fontId="31" fillId="15" borderId="1" xfId="0" applyNumberFormat="1" applyFont="1" applyFill="1" applyBorder="1" applyAlignment="1">
      <alignment horizontal="center" vertical="center" wrapText="1"/>
    </xf>
    <xf numFmtId="1" fontId="9" fillId="15" borderId="1" xfId="0" applyNumberFormat="1" applyFont="1" applyFill="1" applyBorder="1" applyAlignment="1">
      <alignment horizontal="center" vertical="center" wrapText="1"/>
    </xf>
    <xf numFmtId="1" fontId="5" fillId="15" borderId="1" xfId="0" applyNumberFormat="1" applyFont="1" applyFill="1" applyBorder="1" applyAlignment="1">
      <alignment horizontal="center" wrapText="1"/>
    </xf>
    <xf numFmtId="1" fontId="30" fillId="15" borderId="1" xfId="0" applyNumberFormat="1" applyFont="1" applyFill="1" applyBorder="1" applyAlignment="1">
      <alignment horizontal="center" vertical="center" wrapText="1"/>
    </xf>
    <xf numFmtId="1" fontId="0" fillId="15" borderId="0" xfId="0" applyNumberFormat="1" applyFill="1" applyBorder="1" applyAlignment="1">
      <alignment horizontal="center" vertical="center" wrapText="1"/>
    </xf>
    <xf numFmtId="1" fontId="5" fillId="15" borderId="0" xfId="0" applyNumberFormat="1" applyFont="1" applyFill="1" applyAlignment="1">
      <alignment horizontal="left" vertical="center" wrapText="1"/>
    </xf>
    <xf numFmtId="174" fontId="5" fillId="15" borderId="1" xfId="27" applyNumberFormat="1" applyFont="1" applyFill="1" applyBorder="1" applyAlignment="1">
      <alignment horizontal="right"/>
    </xf>
    <xf numFmtId="4" fontId="5" fillId="15" borderId="1" xfId="27" applyNumberFormat="1" applyFont="1" applyFill="1" applyBorder="1" applyAlignment="1">
      <alignment horizontal="right" vertical="center" wrapText="1"/>
    </xf>
    <xf numFmtId="0" fontId="0" fillId="15" borderId="1" xfId="0" applyFont="1" applyFill="1" applyBorder="1" applyAlignment="1">
      <alignment horizontal="center" vertical="center" wrapText="1"/>
    </xf>
    <xf numFmtId="0" fontId="0" fillId="15" borderId="1" xfId="0" applyFill="1" applyBorder="1" applyAlignment="1">
      <alignment horizontal="center" vertical="center" wrapText="1"/>
    </xf>
    <xf numFmtId="164" fontId="0" fillId="15" borderId="1" xfId="0" applyNumberFormat="1" applyFill="1" applyBorder="1">
      <alignment horizontal="left" vertical="center" wrapText="1"/>
    </xf>
    <xf numFmtId="49" fontId="5" fillId="15" borderId="1" xfId="27" applyNumberFormat="1" applyFont="1" applyFill="1" applyBorder="1" applyAlignment="1">
      <alignment horizontal="left" vertical="center" wrapText="1"/>
    </xf>
    <xf numFmtId="164" fontId="0" fillId="15" borderId="1" xfId="0" applyNumberFormat="1" applyFont="1" applyFill="1" applyBorder="1">
      <alignment horizontal="left" vertical="center" wrapText="1"/>
    </xf>
    <xf numFmtId="1" fontId="5" fillId="15" borderId="1" xfId="0" applyNumberFormat="1" applyFont="1" applyFill="1" applyBorder="1" applyAlignment="1">
      <alignment horizontal="center" vertical="center"/>
    </xf>
    <xf numFmtId="3" fontId="5" fillId="15" borderId="1" xfId="0" applyNumberFormat="1" applyFont="1" applyFill="1" applyBorder="1" applyAlignment="1">
      <alignment horizontal="center" vertical="center"/>
    </xf>
    <xf numFmtId="171" fontId="5" fillId="15" borderId="1" xfId="1" applyNumberFormat="1" applyFont="1" applyFill="1" applyBorder="1" applyAlignment="1" applyProtection="1">
      <alignment horizontal="right"/>
    </xf>
    <xf numFmtId="171" fontId="5" fillId="15" borderId="1" xfId="0" applyNumberFormat="1" applyFont="1" applyFill="1" applyBorder="1" applyAlignment="1"/>
    <xf numFmtId="0" fontId="36" fillId="15" borderId="0" xfId="0" applyFont="1" applyFill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center" textRotation="90" wrapText="1"/>
    </xf>
    <xf numFmtId="0" fontId="6" fillId="15" borderId="1" xfId="0" applyFont="1" applyFill="1" applyBorder="1" applyAlignment="1">
      <alignment horizontal="center" vertical="center" wrapText="1"/>
    </xf>
    <xf numFmtId="164" fontId="5" fillId="15" borderId="1" xfId="27" applyNumberFormat="1" applyFont="1" applyFill="1" applyBorder="1" applyAlignment="1">
      <alignment horizontal="center" vertical="center" textRotation="90" wrapText="1"/>
    </xf>
    <xf numFmtId="0" fontId="5" fillId="15" borderId="0" xfId="0" applyFont="1" applyFill="1" applyAlignment="1">
      <alignment horizontal="left" vertical="center" wrapText="1"/>
    </xf>
    <xf numFmtId="49" fontId="5" fillId="15" borderId="0" xfId="0" applyNumberFormat="1" applyFont="1" applyFill="1" applyAlignment="1">
      <alignment horizontal="left" vertical="center" wrapText="1"/>
    </xf>
    <xf numFmtId="0" fontId="5" fillId="15" borderId="1" xfId="0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center" wrapText="1"/>
    </xf>
    <xf numFmtId="1" fontId="5" fillId="15" borderId="1" xfId="19" applyNumberFormat="1" applyFont="1" applyFill="1" applyBorder="1" applyAlignment="1">
      <alignment horizontal="center" vertical="center" wrapText="1"/>
    </xf>
    <xf numFmtId="0" fontId="39" fillId="15" borderId="0" xfId="0" applyFont="1" applyFill="1" applyAlignment="1">
      <alignment horizontal="left" vertical="center" wrapText="1"/>
    </xf>
    <xf numFmtId="0" fontId="39" fillId="15" borderId="0" xfId="0" applyFont="1" applyFill="1" applyAlignment="1">
      <alignment horizontal="left" wrapText="1"/>
    </xf>
    <xf numFmtId="0" fontId="4" fillId="15" borderId="0" xfId="0" applyFont="1" applyFill="1" applyAlignment="1">
      <alignment horizontal="right" vertical="top" wrapText="1"/>
    </xf>
    <xf numFmtId="0" fontId="36" fillId="15" borderId="0" xfId="0" applyFont="1" applyFill="1" applyAlignment="1">
      <alignment horizontal="center" vertical="center" wrapText="1"/>
    </xf>
    <xf numFmtId="0" fontId="37" fillId="15" borderId="0" xfId="0" applyFont="1" applyFill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center" wrapText="1"/>
    </xf>
    <xf numFmtId="1" fontId="5" fillId="15" borderId="1" xfId="0" applyNumberFormat="1" applyFont="1" applyFill="1" applyBorder="1" applyAlignment="1">
      <alignment horizontal="center" vertical="center" textRotation="90" wrapText="1"/>
    </xf>
    <xf numFmtId="0" fontId="5" fillId="15" borderId="1" xfId="0" applyFont="1" applyFill="1" applyBorder="1" applyAlignment="1">
      <alignment horizontal="center" vertical="center" textRotation="90" wrapText="1"/>
    </xf>
    <xf numFmtId="0" fontId="6" fillId="15" borderId="1" xfId="0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left" vertical="center" wrapText="1"/>
    </xf>
    <xf numFmtId="164" fontId="5" fillId="15" borderId="1" xfId="27" applyNumberFormat="1" applyFont="1" applyFill="1" applyBorder="1" applyAlignment="1">
      <alignment horizontal="center" vertical="center" textRotation="90" wrapText="1"/>
    </xf>
    <xf numFmtId="0" fontId="6" fillId="15" borderId="12" xfId="0" applyFont="1" applyFill="1" applyBorder="1" applyAlignment="1">
      <alignment horizontal="left" vertical="center" wrapText="1"/>
    </xf>
    <xf numFmtId="0" fontId="6" fillId="15" borderId="13" xfId="0" applyFont="1" applyFill="1" applyBorder="1" applyAlignment="1">
      <alignment horizontal="left" vertical="center" wrapText="1"/>
    </xf>
    <xf numFmtId="0" fontId="5" fillId="15" borderId="0" xfId="0" applyFont="1" applyFill="1" applyBorder="1" applyAlignment="1">
      <alignment horizontal="left" vertical="center" wrapText="1"/>
    </xf>
    <xf numFmtId="0" fontId="5" fillId="15" borderId="0" xfId="0" applyFont="1" applyFill="1" applyAlignment="1">
      <alignment horizontal="left" vertical="center" wrapText="1"/>
    </xf>
    <xf numFmtId="49" fontId="5" fillId="15" borderId="0" xfId="0" applyNumberFormat="1" applyFont="1" applyFill="1" applyAlignment="1">
      <alignment horizontal="left" vertical="center" wrapText="1"/>
    </xf>
    <xf numFmtId="0" fontId="5" fillId="15" borderId="0" xfId="0" applyNumberFormat="1" applyFont="1" applyFill="1" applyBorder="1" applyAlignment="1">
      <alignment horizontal="left" vertical="center" wrapText="1"/>
    </xf>
  </cellXfs>
  <cellStyles count="31">
    <cellStyle name="Excel Built-in 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 customBuiltin="1"/>
    <cellStyle name="Обычный 2" xfId="19"/>
    <cellStyle name="Обычный 3" xfId="20"/>
    <cellStyle name="Обычный 4" xfId="30"/>
    <cellStyle name="Обычный_Краткосрочный план 2016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Финансовый" xfId="27" builtinId="3" customBuiltin="1"/>
    <cellStyle name="Финансовый 2" xfId="28"/>
    <cellStyle name="Хороший" xfId="29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%20&#1088;&#1072;&#1073;&#1086;&#1095;&#1077;&#1075;&#1086;%20&#1089;&#1090;&#1086;&#1083;&#1072;/&#1050;&#1040;&#1055;&#1056;&#1045;&#1052;&#1054;&#1053;&#1058;/R01%20-%20&#1056;&#1077;&#1077;&#1089;&#1090;&#1088;%20&#1052;&#1050;&#104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ijelskaya/&#1056;&#1072;&#1073;&#1086;&#1095;&#1080;&#1081;%20&#1089;&#1090;&#1086;&#1083;/2016.04.28%20&#1055;&#1088;&#1080;&#1083;&#1086;&#1078;&#1077;&#1085;&#1080;&#1077;%201%20&#1082;%20&#1055;&#1055;&#1052;&#1054;%20&#1086;%20&#1050;&#1055;%20&#1085;&#1072;%202014-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85-&#1060;&#1047;/!&#1053;&#1054;&#1056;&#1052;&#1040;&#1058;&#1048;&#1042;&#1050;&#1040;/!!!%20&#1055;&#1088;&#1080;&#1085;&#1103;&#1090;&#1099;&#1077;%20&#1076;&#1086;&#1082;&#1091;&#1084;&#1077;&#1085;&#1090;&#1099;/2016/&#1055;&#1055;&#1052;&#1054;_370-&#1055;&#1055;%20&#1086;&#1090;%2001.08.2016_&#1057;&#1050;&#1055;%20&#1056;&#1055;&#1050;&#1056;%202014-2016%20&#1080;%202017/&#1055;&#1088;&#1080;&#1083;&#1086;&#1078;&#1077;&#1085;&#1080;&#1077;%20&#1057;&#1050;&#1055;%20&#1085;&#1072;%202014-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правочники"/>
      <sheetName val="tmpWQ1"/>
    </sheetNames>
    <sheetDataSet>
      <sheetData sheetId="0"/>
      <sheetData sheetId="1">
        <row r="201">
          <cell r="A201" t="str">
            <v>Засыпные с деревянным каркасом</v>
          </cell>
        </row>
        <row r="202">
          <cell r="A202" t="str">
            <v>Каркасно-сборный ж/б</v>
          </cell>
        </row>
        <row r="203">
          <cell r="A203" t="str">
            <v>Железобетонные с металлическим каркасом</v>
          </cell>
        </row>
        <row r="204">
          <cell r="A204" t="str">
            <v>Железобетонные с монолитным каркасом</v>
          </cell>
        </row>
        <row r="205">
          <cell r="A205" t="str">
            <v>Кирпичные со сборным ж/б каркасом</v>
          </cell>
        </row>
        <row r="206">
          <cell r="A206" t="str">
            <v>Кирпичные с металлическим каркасом</v>
          </cell>
        </row>
        <row r="207">
          <cell r="A207" t="str">
            <v>Кирпичные с монолитным каркасом</v>
          </cell>
        </row>
        <row r="208">
          <cell r="A208" t="str">
            <v>Крупноблочные со сборным ж/б каркасом</v>
          </cell>
        </row>
        <row r="209">
          <cell r="A209" t="str">
            <v>Крупноблочные с металлическим каркасом</v>
          </cell>
        </row>
        <row r="210">
          <cell r="A210" t="str">
            <v>Крупноблочные с монолитным каркасом</v>
          </cell>
        </row>
        <row r="211">
          <cell r="A211" t="str">
            <v>Кирпичные</v>
          </cell>
        </row>
        <row r="212">
          <cell r="A212" t="str">
            <v>Крупноблочные силикат</v>
          </cell>
        </row>
        <row r="213">
          <cell r="A213" t="str">
            <v>Крупноблочные ячеистый бетон</v>
          </cell>
        </row>
        <row r="214">
          <cell r="A214" t="str">
            <v>Крупноблочные пеноблоки</v>
          </cell>
        </row>
        <row r="215">
          <cell r="A215" t="str">
            <v>Крупноблочные газоблоки</v>
          </cell>
        </row>
        <row r="216">
          <cell r="A216" t="str">
            <v>Панельные</v>
          </cell>
        </row>
        <row r="217">
          <cell r="A217" t="str">
            <v>Монолитные</v>
          </cell>
        </row>
        <row r="218">
          <cell r="A218" t="str">
            <v>Каменные</v>
          </cell>
        </row>
        <row r="219">
          <cell r="A219" t="str">
            <v>Бревно (брус)</v>
          </cell>
        </row>
        <row r="220">
          <cell r="A220" t="str">
            <v>Шпалы</v>
          </cell>
        </row>
        <row r="221">
          <cell r="A221" t="str">
            <v>Деревянные щитовые</v>
          </cell>
        </row>
        <row r="222">
          <cell r="A222" t="str">
            <v>Комбинированные</v>
          </cell>
        </row>
        <row r="223">
          <cell r="A223" t="str">
            <v>Многослойные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-2016"/>
      <sheetName val="Лист1"/>
    </sheetNames>
    <sheetDataSet>
      <sheetData sheetId="0">
        <row r="15">
          <cell r="D15">
            <v>337022.72000000003</v>
          </cell>
          <cell r="E15">
            <v>277764.50000000006</v>
          </cell>
          <cell r="F15">
            <v>192859517.36000004</v>
          </cell>
          <cell r="G15">
            <v>30668273.780000005</v>
          </cell>
          <cell r="H15">
            <v>0</v>
          </cell>
          <cell r="I15">
            <v>43178577.090000004</v>
          </cell>
          <cell r="J15">
            <v>108415669.49000001</v>
          </cell>
          <cell r="K15">
            <v>0</v>
          </cell>
          <cell r="L15">
            <v>591487</v>
          </cell>
          <cell r="M15">
            <v>0</v>
          </cell>
          <cell r="N15">
            <v>10005510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189313586.04000002</v>
          </cell>
          <cell r="V15">
            <v>3545931.32</v>
          </cell>
        </row>
        <row r="16">
          <cell r="D16">
            <v>364494.5</v>
          </cell>
          <cell r="E16">
            <v>331495.90000000002</v>
          </cell>
          <cell r="F16">
            <v>266265933.48000002</v>
          </cell>
          <cell r="G16">
            <v>75743992.920000002</v>
          </cell>
          <cell r="H16">
            <v>0</v>
          </cell>
          <cell r="I16">
            <v>24326300.420000002</v>
          </cell>
          <cell r="J16">
            <v>133410360.8</v>
          </cell>
          <cell r="K16">
            <v>0</v>
          </cell>
          <cell r="L16">
            <v>73252.14</v>
          </cell>
          <cell r="M16">
            <v>0</v>
          </cell>
          <cell r="N16">
            <v>31210026.57</v>
          </cell>
          <cell r="O16">
            <v>0</v>
          </cell>
          <cell r="P16">
            <v>402000.63</v>
          </cell>
          <cell r="Q16">
            <v>0</v>
          </cell>
          <cell r="R16">
            <v>1100000</v>
          </cell>
          <cell r="S16">
            <v>31384855.310000002</v>
          </cell>
          <cell r="T16">
            <v>0</v>
          </cell>
          <cell r="U16">
            <v>40297489.609999999</v>
          </cell>
          <cell r="V16">
            <v>194583588.56</v>
          </cell>
        </row>
        <row r="17">
          <cell r="D17">
            <v>950899.64000000036</v>
          </cell>
          <cell r="E17">
            <v>796609.70999999961</v>
          </cell>
          <cell r="F17">
            <v>1002172976.27</v>
          </cell>
          <cell r="G17">
            <v>261913435.71999997</v>
          </cell>
          <cell r="H17">
            <v>38339.837816193816</v>
          </cell>
          <cell r="I17">
            <v>32627372.220000003</v>
          </cell>
          <cell r="J17">
            <v>368349691.93999982</v>
          </cell>
          <cell r="K17">
            <v>18959.429802865216</v>
          </cell>
          <cell r="L17">
            <v>5641761.8999999994</v>
          </cell>
          <cell r="M17">
            <v>376.05645801518477</v>
          </cell>
          <cell r="N17">
            <v>326056034.45999998</v>
          </cell>
          <cell r="O17">
            <v>16033.505494885558</v>
          </cell>
          <cell r="P17">
            <v>2296276.5599999996</v>
          </cell>
          <cell r="Q17">
            <v>328.85739201298543</v>
          </cell>
          <cell r="R17">
            <v>5288403.4700000007</v>
          </cell>
          <cell r="S17">
            <v>7280678</v>
          </cell>
          <cell r="T17">
            <v>0</v>
          </cell>
          <cell r="U17">
            <v>19949434.739999998</v>
          </cell>
          <cell r="V17">
            <v>974942863.53000021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-2016"/>
    </sheetNames>
    <sheetDataSet>
      <sheetData sheetId="0">
        <row r="17">
          <cell r="G17">
            <v>1079808327.7989998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562"/>
  <sheetViews>
    <sheetView tabSelected="1" view="pageBreakPreview" topLeftCell="J1" zoomScale="70" zoomScaleNormal="62" zoomScaleSheetLayoutView="70" zoomScalePageLayoutView="64" workbookViewId="0">
      <selection activeCell="Q4" sqref="Q4:W4"/>
    </sheetView>
  </sheetViews>
  <sheetFormatPr defaultColWidth="9.33203125" defaultRowHeight="13.2" x14ac:dyDescent="0.25"/>
  <cols>
    <col min="1" max="1" width="11.109375" style="6" customWidth="1"/>
    <col min="2" max="2" width="64" style="6" customWidth="1"/>
    <col min="3" max="3" width="12.33203125" style="138" customWidth="1"/>
    <col min="4" max="4" width="11.33203125" style="7" customWidth="1"/>
    <col min="5" max="6" width="19.109375" style="8" customWidth="1"/>
    <col min="7" max="7" width="27.44140625" style="9" customWidth="1"/>
    <col min="8" max="8" width="23.77734375" style="8" customWidth="1"/>
    <col min="9" max="9" width="23.77734375" style="8" hidden="1" customWidth="1"/>
    <col min="10" max="10" width="22" style="8" customWidth="1"/>
    <col min="11" max="11" width="25.77734375" style="8" customWidth="1"/>
    <col min="12" max="12" width="25.77734375" style="8" hidden="1" customWidth="1"/>
    <col min="13" max="13" width="21.77734375" style="8" customWidth="1"/>
    <col min="14" max="14" width="21.77734375" style="8" hidden="1" customWidth="1"/>
    <col min="15" max="15" width="24" style="8" customWidth="1"/>
    <col min="16" max="16" width="24" style="8" hidden="1" customWidth="1"/>
    <col min="17" max="17" width="19.6640625" style="8" customWidth="1"/>
    <col min="18" max="18" width="19.6640625" style="8" hidden="1" customWidth="1"/>
    <col min="19" max="19" width="21" style="8" customWidth="1"/>
    <col min="20" max="20" width="23.6640625" style="8" customWidth="1"/>
    <col min="21" max="21" width="12.33203125" style="8" customWidth="1"/>
    <col min="22" max="22" width="24.77734375" style="8" customWidth="1"/>
    <col min="23" max="23" width="25.77734375" style="9" customWidth="1"/>
    <col min="24" max="24" width="10.77734375" style="7" customWidth="1"/>
    <col min="25" max="25" width="11.109375" style="7" customWidth="1"/>
    <col min="26" max="27" width="9.33203125" style="6"/>
    <col min="28" max="28" width="25.77734375" style="6" customWidth="1"/>
    <col min="29" max="29" width="39.77734375" style="6" customWidth="1"/>
    <col min="30" max="16384" width="9.33203125" style="6"/>
  </cols>
  <sheetData>
    <row r="1" spans="1:25" s="1" customFormat="1" ht="51" customHeight="1" x14ac:dyDescent="0.25">
      <c r="C1" s="137"/>
      <c r="D1" s="2"/>
      <c r="E1" s="3"/>
      <c r="F1" s="3"/>
      <c r="G1" s="4"/>
      <c r="H1" s="3"/>
      <c r="I1" s="3"/>
      <c r="J1" s="3"/>
      <c r="K1" s="3"/>
      <c r="L1" s="3"/>
      <c r="M1" s="3"/>
      <c r="N1" s="3"/>
      <c r="O1" s="3"/>
      <c r="P1" s="3"/>
      <c r="Q1" s="174" t="s">
        <v>487</v>
      </c>
      <c r="R1" s="174"/>
      <c r="S1" s="174"/>
      <c r="T1" s="174"/>
      <c r="U1" s="174"/>
      <c r="V1" s="174"/>
      <c r="W1" s="5"/>
      <c r="X1" s="2"/>
      <c r="Y1" s="2"/>
    </row>
    <row r="2" spans="1:25" ht="51" customHeight="1" x14ac:dyDescent="0.25">
      <c r="Q2" s="174" t="s">
        <v>482</v>
      </c>
      <c r="R2" s="174"/>
      <c r="S2" s="174"/>
      <c r="T2" s="174"/>
      <c r="U2" s="174"/>
      <c r="V2" s="174"/>
      <c r="W2" s="174"/>
    </row>
    <row r="3" spans="1:25" ht="51" customHeight="1" x14ac:dyDescent="0.25">
      <c r="Q3" s="174" t="s">
        <v>457</v>
      </c>
      <c r="R3" s="174"/>
      <c r="S3" s="174"/>
      <c r="T3" s="174"/>
      <c r="U3" s="174"/>
      <c r="V3" s="174"/>
      <c r="W3" s="5"/>
    </row>
    <row r="4" spans="1:25" ht="51" customHeight="1" x14ac:dyDescent="0.9">
      <c r="Q4" s="175" t="s">
        <v>527</v>
      </c>
      <c r="R4" s="175"/>
      <c r="S4" s="175"/>
      <c r="T4" s="175"/>
      <c r="U4" s="175"/>
      <c r="V4" s="175"/>
      <c r="W4" s="175"/>
    </row>
    <row r="5" spans="1:25" ht="19.5" customHeight="1" x14ac:dyDescent="0.25">
      <c r="A5" s="10"/>
      <c r="B5" s="10"/>
      <c r="C5" s="139"/>
      <c r="D5" s="11"/>
      <c r="E5" s="12"/>
      <c r="F5" s="12"/>
      <c r="G5" s="13"/>
      <c r="H5" s="12"/>
      <c r="I5" s="12"/>
      <c r="J5" s="12"/>
      <c r="K5" s="12"/>
      <c r="L5" s="12"/>
      <c r="M5" s="12"/>
      <c r="N5" s="12"/>
      <c r="O5" s="12"/>
      <c r="P5" s="12"/>
      <c r="Q5" s="176"/>
      <c r="R5" s="176"/>
      <c r="S5" s="176"/>
      <c r="T5" s="176"/>
      <c r="U5" s="176"/>
      <c r="V5" s="176"/>
      <c r="W5" s="176"/>
      <c r="X5" s="11"/>
      <c r="Y5" s="11"/>
    </row>
    <row r="6" spans="1:25" ht="62.25" customHeight="1" x14ac:dyDescent="0.25">
      <c r="A6" s="177" t="s">
        <v>483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</row>
    <row r="7" spans="1:25" ht="0.75" hidden="1" customHeight="1" x14ac:dyDescent="0.25">
      <c r="A7" s="164"/>
      <c r="B7" s="164"/>
      <c r="C7" s="140"/>
      <c r="D7" s="164"/>
      <c r="E7" s="14"/>
      <c r="F7" s="14"/>
      <c r="G7" s="15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5"/>
      <c r="X7" s="164"/>
      <c r="Y7" s="164"/>
    </row>
    <row r="8" spans="1:25" ht="28.5" customHeight="1" x14ac:dyDescent="0.25">
      <c r="A8" s="178" t="s">
        <v>481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</row>
    <row r="9" spans="1:25" ht="17.25" customHeight="1" x14ac:dyDescent="0.25">
      <c r="A9" s="16"/>
      <c r="B9" s="16"/>
      <c r="C9" s="141"/>
      <c r="D9" s="16"/>
      <c r="E9" s="17"/>
      <c r="F9" s="17"/>
      <c r="G9" s="18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8"/>
      <c r="X9" s="16"/>
      <c r="Y9" s="16"/>
    </row>
    <row r="10" spans="1:25" s="116" customFormat="1" ht="18.75" customHeight="1" x14ac:dyDescent="0.25">
      <c r="A10" s="179" t="s">
        <v>0</v>
      </c>
      <c r="B10" s="179" t="s">
        <v>1</v>
      </c>
      <c r="C10" s="180" t="s">
        <v>2</v>
      </c>
      <c r="D10" s="181" t="s">
        <v>480</v>
      </c>
      <c r="E10" s="181" t="s">
        <v>3</v>
      </c>
      <c r="F10" s="181" t="s">
        <v>386</v>
      </c>
      <c r="G10" s="179" t="s">
        <v>115</v>
      </c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81" t="s">
        <v>117</v>
      </c>
      <c r="Y10" s="181" t="s">
        <v>118</v>
      </c>
    </row>
    <row r="11" spans="1:25" s="116" customFormat="1" ht="16.5" customHeight="1" x14ac:dyDescent="0.25">
      <c r="A11" s="179"/>
      <c r="B11" s="179"/>
      <c r="C11" s="180"/>
      <c r="D11" s="181"/>
      <c r="E11" s="181"/>
      <c r="F11" s="181"/>
      <c r="G11" s="184" t="s">
        <v>4</v>
      </c>
      <c r="H11" s="181" t="s">
        <v>5</v>
      </c>
      <c r="I11" s="166"/>
      <c r="J11" s="181" t="s">
        <v>6</v>
      </c>
      <c r="K11" s="181" t="s">
        <v>7</v>
      </c>
      <c r="L11" s="166"/>
      <c r="M11" s="181" t="s">
        <v>8</v>
      </c>
      <c r="N11" s="166"/>
      <c r="O11" s="181" t="s">
        <v>9</v>
      </c>
      <c r="P11" s="166"/>
      <c r="Q11" s="181" t="s">
        <v>10</v>
      </c>
      <c r="R11" s="166"/>
      <c r="S11" s="181" t="s">
        <v>116</v>
      </c>
      <c r="T11" s="179" t="s">
        <v>11</v>
      </c>
      <c r="U11" s="179"/>
      <c r="V11" s="179"/>
      <c r="W11" s="179"/>
      <c r="X11" s="181"/>
      <c r="Y11" s="181"/>
    </row>
    <row r="12" spans="1:25" s="116" customFormat="1" ht="89.25" customHeight="1" x14ac:dyDescent="0.25">
      <c r="A12" s="179"/>
      <c r="B12" s="179"/>
      <c r="C12" s="180"/>
      <c r="D12" s="181"/>
      <c r="E12" s="181"/>
      <c r="F12" s="181"/>
      <c r="G12" s="184"/>
      <c r="H12" s="181"/>
      <c r="I12" s="166"/>
      <c r="J12" s="181"/>
      <c r="K12" s="181"/>
      <c r="L12" s="166"/>
      <c r="M12" s="181"/>
      <c r="N12" s="166"/>
      <c r="O12" s="181"/>
      <c r="P12" s="166"/>
      <c r="Q12" s="181"/>
      <c r="R12" s="166"/>
      <c r="S12" s="181"/>
      <c r="T12" s="166" t="s">
        <v>26</v>
      </c>
      <c r="U12" s="166" t="s">
        <v>106</v>
      </c>
      <c r="V12" s="166" t="s">
        <v>12</v>
      </c>
      <c r="W12" s="168" t="s">
        <v>105</v>
      </c>
      <c r="X12" s="181"/>
      <c r="Y12" s="181"/>
    </row>
    <row r="13" spans="1:25" s="116" customFormat="1" ht="15.6" x14ac:dyDescent="0.25">
      <c r="A13" s="179"/>
      <c r="B13" s="179"/>
      <c r="C13" s="180"/>
      <c r="D13" s="181"/>
      <c r="E13" s="165" t="s">
        <v>13</v>
      </c>
      <c r="F13" s="165" t="s">
        <v>13</v>
      </c>
      <c r="G13" s="58" t="s">
        <v>14</v>
      </c>
      <c r="H13" s="165" t="s">
        <v>14</v>
      </c>
      <c r="I13" s="165"/>
      <c r="J13" s="165" t="s">
        <v>14</v>
      </c>
      <c r="K13" s="165" t="s">
        <v>14</v>
      </c>
      <c r="L13" s="165"/>
      <c r="M13" s="165" t="s">
        <v>14</v>
      </c>
      <c r="N13" s="165"/>
      <c r="O13" s="165" t="s">
        <v>14</v>
      </c>
      <c r="P13" s="165"/>
      <c r="Q13" s="165" t="s">
        <v>14</v>
      </c>
      <c r="R13" s="165"/>
      <c r="S13" s="165" t="s">
        <v>14</v>
      </c>
      <c r="T13" s="165" t="s">
        <v>14</v>
      </c>
      <c r="U13" s="165" t="s">
        <v>14</v>
      </c>
      <c r="V13" s="165" t="s">
        <v>14</v>
      </c>
      <c r="W13" s="58" t="s">
        <v>14</v>
      </c>
      <c r="X13" s="181"/>
      <c r="Y13" s="181"/>
    </row>
    <row r="14" spans="1:25" s="116" customFormat="1" ht="15.6" x14ac:dyDescent="0.25">
      <c r="A14" s="165" t="s">
        <v>15</v>
      </c>
      <c r="B14" s="165" t="s">
        <v>16</v>
      </c>
      <c r="C14" s="142" t="s">
        <v>17</v>
      </c>
      <c r="D14" s="165">
        <v>4</v>
      </c>
      <c r="E14" s="165">
        <v>5</v>
      </c>
      <c r="F14" s="165">
        <v>6</v>
      </c>
      <c r="G14" s="165">
        <v>7</v>
      </c>
      <c r="H14" s="165">
        <v>8</v>
      </c>
      <c r="I14" s="165">
        <v>8</v>
      </c>
      <c r="J14" s="165">
        <v>9</v>
      </c>
      <c r="K14" s="165">
        <v>10</v>
      </c>
      <c r="L14" s="165">
        <v>10</v>
      </c>
      <c r="M14" s="165">
        <v>11</v>
      </c>
      <c r="N14" s="165">
        <v>11</v>
      </c>
      <c r="O14" s="165">
        <v>12</v>
      </c>
      <c r="P14" s="165">
        <v>12</v>
      </c>
      <c r="Q14" s="165">
        <v>13</v>
      </c>
      <c r="R14" s="165">
        <v>13</v>
      </c>
      <c r="S14" s="165">
        <v>14</v>
      </c>
      <c r="T14" s="165">
        <v>15</v>
      </c>
      <c r="U14" s="117">
        <v>16</v>
      </c>
      <c r="V14" s="117">
        <v>17</v>
      </c>
      <c r="W14" s="117">
        <v>18</v>
      </c>
      <c r="X14" s="117">
        <v>19</v>
      </c>
      <c r="Y14" s="117">
        <v>20</v>
      </c>
    </row>
    <row r="15" spans="1:25" s="116" customFormat="1" ht="20.100000000000001" customHeight="1" x14ac:dyDescent="0.25">
      <c r="A15" s="183" t="s">
        <v>365</v>
      </c>
      <c r="B15" s="183"/>
      <c r="C15" s="142"/>
      <c r="D15" s="165"/>
      <c r="E15" s="19">
        <f t="shared" ref="E15:W15" si="0">E34+E44+E65+E83+E201+E211+E228+E282+E288+E294+E300+E347+E354+E359+E368+E401+E410+E417+E431+E436+E444+E454+E462+E468+E482+E487+E503+E521+E539</f>
        <v>337022.72000000003</v>
      </c>
      <c r="F15" s="19">
        <f t="shared" si="0"/>
        <v>277764.5</v>
      </c>
      <c r="G15" s="19">
        <f t="shared" si="0"/>
        <v>192862059.5919601</v>
      </c>
      <c r="H15" s="19">
        <f t="shared" si="0"/>
        <v>30668273.780000001</v>
      </c>
      <c r="I15" s="19">
        <f t="shared" si="0"/>
        <v>0</v>
      </c>
      <c r="J15" s="19">
        <f t="shared" si="0"/>
        <v>43178577.089999996</v>
      </c>
      <c r="K15" s="19">
        <f t="shared" si="0"/>
        <v>108415669.48999999</v>
      </c>
      <c r="L15" s="19">
        <f t="shared" si="0"/>
        <v>2542.2319600879418</v>
      </c>
      <c r="M15" s="19">
        <f t="shared" si="0"/>
        <v>591487</v>
      </c>
      <c r="N15" s="19">
        <f t="shared" si="0"/>
        <v>0</v>
      </c>
      <c r="O15" s="19">
        <f t="shared" si="0"/>
        <v>10005510</v>
      </c>
      <c r="P15" s="19">
        <f t="shared" si="0"/>
        <v>0</v>
      </c>
      <c r="Q15" s="19">
        <f t="shared" si="0"/>
        <v>0</v>
      </c>
      <c r="R15" s="19">
        <f t="shared" si="0"/>
        <v>0</v>
      </c>
      <c r="S15" s="19">
        <f t="shared" si="0"/>
        <v>0</v>
      </c>
      <c r="T15" s="19">
        <f t="shared" si="0"/>
        <v>0</v>
      </c>
      <c r="U15" s="19">
        <f t="shared" si="0"/>
        <v>0</v>
      </c>
      <c r="V15" s="19">
        <f t="shared" si="0"/>
        <v>189313586.03999996</v>
      </c>
      <c r="W15" s="19">
        <f t="shared" si="0"/>
        <v>3545931.32</v>
      </c>
      <c r="X15" s="20" t="s">
        <v>368</v>
      </c>
      <c r="Y15" s="20" t="s">
        <v>368</v>
      </c>
    </row>
    <row r="16" spans="1:25" s="116" customFormat="1" ht="20.100000000000001" customHeight="1" x14ac:dyDescent="0.25">
      <c r="A16" s="183" t="s">
        <v>366</v>
      </c>
      <c r="B16" s="183"/>
      <c r="C16" s="142"/>
      <c r="D16" s="165"/>
      <c r="E16" s="19">
        <f t="shared" ref="E16:W16" si="1">E35+E45+E66+E84+E202+E212+E229+E283+E289+E295+E301+E348+E355+E360+E369+E402+E411+E418+E432+E437+E445+E455+E463+E469+E483+E488+E504+E522+E540</f>
        <v>355411.6</v>
      </c>
      <c r="F16" s="19">
        <f t="shared" si="1"/>
        <v>306747.2</v>
      </c>
      <c r="G16" s="19">
        <f t="shared" si="1"/>
        <v>257767436.89000002</v>
      </c>
      <c r="H16" s="19">
        <f t="shared" si="1"/>
        <v>76243071.420000002</v>
      </c>
      <c r="I16" s="19">
        <f t="shared" si="1"/>
        <v>0</v>
      </c>
      <c r="J16" s="19">
        <f t="shared" si="1"/>
        <v>24326300.420000002</v>
      </c>
      <c r="K16" s="19">
        <f t="shared" si="1"/>
        <v>124412785.70999999</v>
      </c>
      <c r="L16" s="19">
        <f t="shared" si="1"/>
        <v>0</v>
      </c>
      <c r="M16" s="19">
        <f t="shared" si="1"/>
        <v>73252.14</v>
      </c>
      <c r="N16" s="19">
        <f t="shared" si="1"/>
        <v>0</v>
      </c>
      <c r="O16" s="19">
        <f t="shared" si="1"/>
        <v>31210026.57</v>
      </c>
      <c r="P16" s="19">
        <f t="shared" si="1"/>
        <v>0</v>
      </c>
      <c r="Q16" s="19">
        <f t="shared" si="1"/>
        <v>402000.63</v>
      </c>
      <c r="R16" s="19">
        <f t="shared" si="1"/>
        <v>0</v>
      </c>
      <c r="S16" s="19">
        <f t="shared" si="1"/>
        <v>1100000</v>
      </c>
      <c r="T16" s="19">
        <f t="shared" si="1"/>
        <v>31384855.310000002</v>
      </c>
      <c r="U16" s="19">
        <f t="shared" si="1"/>
        <v>0</v>
      </c>
      <c r="V16" s="19">
        <f t="shared" si="1"/>
        <v>40297489.609999999</v>
      </c>
      <c r="W16" s="19">
        <f t="shared" si="1"/>
        <v>186085091.97000003</v>
      </c>
      <c r="X16" s="20" t="s">
        <v>368</v>
      </c>
      <c r="Y16" s="20" t="s">
        <v>368</v>
      </c>
    </row>
    <row r="17" spans="1:28" s="116" customFormat="1" ht="20.100000000000001" customHeight="1" x14ac:dyDescent="0.25">
      <c r="A17" s="183" t="s">
        <v>367</v>
      </c>
      <c r="B17" s="183"/>
      <c r="C17" s="142"/>
      <c r="D17" s="165"/>
      <c r="E17" s="19">
        <f>E36+E46+E67+E85+E203+E213+E230+E284+E290+E296+E302+E349+E356+E361+E370+E403+E412+E419+E433+E438+E446+E456+E464+E470+E484+E489+E505+E523+E541</f>
        <v>603904.83999999985</v>
      </c>
      <c r="F17" s="19">
        <f t="shared" ref="F17:W17" si="2">F36+F46+F67+F85+F203+F213+F230+F284+F290+F296+F302+F349+F356+F361+F370+F403+F412+F419+F433+F438+F446+F456+F464+F470+F484+F489+F505+F523+F541</f>
        <v>528354.89</v>
      </c>
      <c r="G17" s="19">
        <f t="shared" si="2"/>
        <v>512536422.88999999</v>
      </c>
      <c r="H17" s="19">
        <f t="shared" si="2"/>
        <v>190672826.78600001</v>
      </c>
      <c r="I17" s="19">
        <f t="shared" si="2"/>
        <v>34254.319658930486</v>
      </c>
      <c r="J17" s="19">
        <f t="shared" si="2"/>
        <v>31930516.630000003</v>
      </c>
      <c r="K17" s="19">
        <f t="shared" si="2"/>
        <v>222058008.77400002</v>
      </c>
      <c r="L17" s="19">
        <f t="shared" si="2"/>
        <v>39906.392917719357</v>
      </c>
      <c r="M17" s="19">
        <f t="shared" si="2"/>
        <v>4167101.12</v>
      </c>
      <c r="N17" s="19">
        <f t="shared" si="2"/>
        <v>624.89646107586282</v>
      </c>
      <c r="O17" s="19">
        <f t="shared" si="2"/>
        <v>63586849.369999997</v>
      </c>
      <c r="P17" s="19">
        <f t="shared" si="2"/>
        <v>13404.755068673605</v>
      </c>
      <c r="Q17" s="19">
        <f t="shared" si="2"/>
        <v>121120.21</v>
      </c>
      <c r="R17" s="19">
        <f t="shared" si="2"/>
        <v>0</v>
      </c>
      <c r="S17" s="19">
        <f t="shared" si="2"/>
        <v>0</v>
      </c>
      <c r="T17" s="19">
        <f t="shared" si="2"/>
        <v>7034319.129999999</v>
      </c>
      <c r="U17" s="19">
        <f t="shared" si="2"/>
        <v>0</v>
      </c>
      <c r="V17" s="19">
        <f t="shared" si="2"/>
        <v>18007415.445999999</v>
      </c>
      <c r="W17" s="19">
        <f t="shared" si="2"/>
        <v>487494688.31399995</v>
      </c>
      <c r="X17" s="20" t="s">
        <v>368</v>
      </c>
      <c r="Y17" s="20" t="s">
        <v>368</v>
      </c>
      <c r="AB17" s="157">
        <f>T17+V17+W17</f>
        <v>512536422.88999993</v>
      </c>
    </row>
    <row r="18" spans="1:28" s="116" customFormat="1" ht="18" customHeight="1" x14ac:dyDescent="0.25">
      <c r="A18" s="182" t="s">
        <v>119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28"/>
      <c r="Y18" s="28"/>
    </row>
    <row r="19" spans="1:28" s="118" customFormat="1" ht="18" customHeight="1" x14ac:dyDescent="0.25">
      <c r="A19" s="165" t="s">
        <v>15</v>
      </c>
      <c r="B19" s="24" t="s">
        <v>120</v>
      </c>
      <c r="C19" s="143">
        <v>1963</v>
      </c>
      <c r="D19" s="25"/>
      <c r="E19" s="45">
        <v>3440.6</v>
      </c>
      <c r="F19" s="22">
        <v>3194.7</v>
      </c>
      <c r="G19" s="42">
        <f>SUM(H19:S19)</f>
        <v>7289315.4799999995</v>
      </c>
      <c r="H19" s="35">
        <v>3525427.52</v>
      </c>
      <c r="I19" s="35"/>
      <c r="J19" s="35">
        <v>0</v>
      </c>
      <c r="K19" s="35">
        <v>3638409.28</v>
      </c>
      <c r="L19" s="35"/>
      <c r="M19" s="35">
        <v>0</v>
      </c>
      <c r="N19" s="35"/>
      <c r="O19" s="35">
        <v>0</v>
      </c>
      <c r="P19" s="35"/>
      <c r="Q19" s="35">
        <v>125478.68</v>
      </c>
      <c r="R19" s="35"/>
      <c r="S19" s="35">
        <v>0</v>
      </c>
      <c r="T19" s="35">
        <v>0</v>
      </c>
      <c r="U19" s="35">
        <v>0</v>
      </c>
      <c r="V19" s="35">
        <v>0</v>
      </c>
      <c r="W19" s="42">
        <f t="shared" ref="W19:W33" si="3">G19</f>
        <v>7289315.4799999995</v>
      </c>
      <c r="X19" s="165">
        <v>2015</v>
      </c>
      <c r="Y19" s="165">
        <v>2015</v>
      </c>
      <c r="Z19" s="155"/>
      <c r="AA19" s="155"/>
    </row>
    <row r="20" spans="1:28" s="118" customFormat="1" ht="18" customHeight="1" x14ac:dyDescent="0.25">
      <c r="A20" s="165">
        <f>A19+1</f>
        <v>2</v>
      </c>
      <c r="B20" s="24" t="s">
        <v>121</v>
      </c>
      <c r="C20" s="143">
        <v>1963</v>
      </c>
      <c r="D20" s="25"/>
      <c r="E20" s="45">
        <v>2698.7</v>
      </c>
      <c r="F20" s="22">
        <v>2517.1</v>
      </c>
      <c r="G20" s="42">
        <f>SUM(H20:S20)</f>
        <v>5787179.1500000004</v>
      </c>
      <c r="H20" s="35">
        <v>2753485.46</v>
      </c>
      <c r="I20" s="35"/>
      <c r="J20" s="35">
        <v>0</v>
      </c>
      <c r="K20" s="35">
        <v>2935272.1</v>
      </c>
      <c r="L20" s="35"/>
      <c r="M20" s="35">
        <v>0</v>
      </c>
      <c r="N20" s="35"/>
      <c r="O20" s="35">
        <v>0</v>
      </c>
      <c r="P20" s="35"/>
      <c r="Q20" s="35">
        <v>98421.59</v>
      </c>
      <c r="R20" s="35"/>
      <c r="S20" s="35">
        <v>0</v>
      </c>
      <c r="T20" s="35">
        <v>0</v>
      </c>
      <c r="U20" s="35">
        <v>0</v>
      </c>
      <c r="V20" s="35">
        <v>0</v>
      </c>
      <c r="W20" s="42">
        <f t="shared" si="3"/>
        <v>5787179.1500000004</v>
      </c>
      <c r="X20" s="165">
        <v>2015</v>
      </c>
      <c r="Y20" s="165">
        <v>2015</v>
      </c>
      <c r="Z20" s="155"/>
      <c r="AA20" s="155"/>
    </row>
    <row r="21" spans="1:28" s="118" customFormat="1" ht="18" customHeight="1" x14ac:dyDescent="0.25">
      <c r="A21" s="165">
        <f t="shared" ref="A21:A33" si="4">A20+1</f>
        <v>3</v>
      </c>
      <c r="B21" s="24" t="s">
        <v>122</v>
      </c>
      <c r="C21" s="143">
        <v>1966</v>
      </c>
      <c r="D21" s="25"/>
      <c r="E21" s="45">
        <v>3113.3</v>
      </c>
      <c r="F21" s="22">
        <v>2874</v>
      </c>
      <c r="G21" s="42">
        <f>SUM(H21:S21)</f>
        <v>6597500</v>
      </c>
      <c r="H21" s="35">
        <v>3193337.05</v>
      </c>
      <c r="I21" s="35"/>
      <c r="J21" s="35">
        <v>0</v>
      </c>
      <c r="K21" s="35">
        <v>3404162.95</v>
      </c>
      <c r="L21" s="35"/>
      <c r="M21" s="35">
        <v>0</v>
      </c>
      <c r="N21" s="35"/>
      <c r="O21" s="35">
        <v>0</v>
      </c>
      <c r="P21" s="35"/>
      <c r="Q21" s="35">
        <v>0</v>
      </c>
      <c r="R21" s="35"/>
      <c r="S21" s="35">
        <v>0</v>
      </c>
      <c r="T21" s="35">
        <v>0</v>
      </c>
      <c r="U21" s="35">
        <v>0</v>
      </c>
      <c r="V21" s="35">
        <v>0</v>
      </c>
      <c r="W21" s="42">
        <f t="shared" si="3"/>
        <v>6597500</v>
      </c>
      <c r="X21" s="165">
        <v>2015</v>
      </c>
      <c r="Y21" s="165">
        <v>2015</v>
      </c>
      <c r="Z21" s="155"/>
      <c r="AA21" s="155"/>
    </row>
    <row r="22" spans="1:28" s="118" customFormat="1" ht="18" customHeight="1" x14ac:dyDescent="0.25">
      <c r="A22" s="165">
        <f t="shared" si="4"/>
        <v>4</v>
      </c>
      <c r="B22" s="24" t="s">
        <v>123</v>
      </c>
      <c r="C22" s="143">
        <v>1970</v>
      </c>
      <c r="D22" s="25"/>
      <c r="E22" s="45">
        <v>4953.2</v>
      </c>
      <c r="F22" s="22">
        <v>4543.8999999999996</v>
      </c>
      <c r="G22" s="42">
        <f t="shared" ref="G22:G33" si="5">H22+J22+K22+M22+O22+Q22+S22</f>
        <v>5785498.9900000002</v>
      </c>
      <c r="H22" s="35">
        <v>5785498.9900000002</v>
      </c>
      <c r="I22" s="35">
        <f t="shared" ref="I22:I33" si="6">H22/F22</f>
        <v>1273.2452276678625</v>
      </c>
      <c r="J22" s="35">
        <v>0</v>
      </c>
      <c r="K22" s="35">
        <v>0</v>
      </c>
      <c r="L22" s="35"/>
      <c r="M22" s="35">
        <v>0</v>
      </c>
      <c r="N22" s="35"/>
      <c r="O22" s="35">
        <v>0</v>
      </c>
      <c r="P22" s="35"/>
      <c r="Q22" s="35">
        <v>0</v>
      </c>
      <c r="R22" s="35"/>
      <c r="S22" s="35">
        <v>0</v>
      </c>
      <c r="T22" s="35">
        <v>0</v>
      </c>
      <c r="U22" s="35">
        <v>0</v>
      </c>
      <c r="V22" s="35">
        <v>0</v>
      </c>
      <c r="W22" s="42">
        <f t="shared" si="3"/>
        <v>5785498.9900000002</v>
      </c>
      <c r="X22" s="165">
        <v>2015</v>
      </c>
      <c r="Y22" s="165">
        <v>2016</v>
      </c>
      <c r="Z22" s="155">
        <v>1</v>
      </c>
      <c r="AA22" s="155"/>
    </row>
    <row r="23" spans="1:28" s="118" customFormat="1" ht="18" customHeight="1" x14ac:dyDescent="0.25">
      <c r="A23" s="165">
        <f t="shared" si="4"/>
        <v>5</v>
      </c>
      <c r="B23" s="24" t="s">
        <v>124</v>
      </c>
      <c r="C23" s="143">
        <v>1964</v>
      </c>
      <c r="D23" s="25"/>
      <c r="E23" s="45">
        <v>3748.8</v>
      </c>
      <c r="F23" s="22">
        <v>3476.2</v>
      </c>
      <c r="G23" s="42">
        <f t="shared" si="5"/>
        <v>7612500</v>
      </c>
      <c r="H23" s="35">
        <v>3687445.52</v>
      </c>
      <c r="I23" s="35">
        <f t="shared" si="6"/>
        <v>1060.7690926874175</v>
      </c>
      <c r="J23" s="35">
        <v>0</v>
      </c>
      <c r="K23" s="35">
        <v>3925054.48</v>
      </c>
      <c r="L23" s="35">
        <f>K23/F23</f>
        <v>1129.1221678844715</v>
      </c>
      <c r="M23" s="35">
        <v>0</v>
      </c>
      <c r="N23" s="35"/>
      <c r="O23" s="35">
        <v>0</v>
      </c>
      <c r="P23" s="35"/>
      <c r="Q23" s="35">
        <v>0</v>
      </c>
      <c r="R23" s="35"/>
      <c r="S23" s="35">
        <v>0</v>
      </c>
      <c r="T23" s="35">
        <v>0</v>
      </c>
      <c r="U23" s="35">
        <v>0</v>
      </c>
      <c r="V23" s="35">
        <v>0</v>
      </c>
      <c r="W23" s="42">
        <f t="shared" si="3"/>
        <v>7612500</v>
      </c>
      <c r="X23" s="165">
        <v>2015</v>
      </c>
      <c r="Y23" s="165">
        <v>2016</v>
      </c>
      <c r="Z23" s="155">
        <f>Z22+1</f>
        <v>2</v>
      </c>
      <c r="AA23" s="155"/>
    </row>
    <row r="24" spans="1:28" s="118" customFormat="1" ht="18" customHeight="1" x14ac:dyDescent="0.25">
      <c r="A24" s="165">
        <f t="shared" si="4"/>
        <v>6</v>
      </c>
      <c r="B24" s="24" t="s">
        <v>125</v>
      </c>
      <c r="C24" s="143">
        <v>1965</v>
      </c>
      <c r="D24" s="25"/>
      <c r="E24" s="45">
        <v>3495.6</v>
      </c>
      <c r="F24" s="22">
        <v>3315.5</v>
      </c>
      <c r="G24" s="42">
        <f t="shared" si="5"/>
        <v>6800500</v>
      </c>
      <c r="H24" s="35">
        <v>3004458.89</v>
      </c>
      <c r="I24" s="35">
        <f t="shared" si="6"/>
        <v>906.18576082038908</v>
      </c>
      <c r="J24" s="35">
        <v>0</v>
      </c>
      <c r="K24" s="35">
        <v>3674920.9</v>
      </c>
      <c r="L24" s="35">
        <f>K24/F24</f>
        <v>1108.4062434022017</v>
      </c>
      <c r="M24" s="35">
        <v>0</v>
      </c>
      <c r="N24" s="35"/>
      <c r="O24" s="35">
        <v>0</v>
      </c>
      <c r="P24" s="35"/>
      <c r="Q24" s="35">
        <v>121120.21</v>
      </c>
      <c r="R24" s="35">
        <f>Q24/E24</f>
        <v>34.649333447762906</v>
      </c>
      <c r="S24" s="35">
        <v>0</v>
      </c>
      <c r="T24" s="35">
        <v>0</v>
      </c>
      <c r="U24" s="35">
        <v>0</v>
      </c>
      <c r="V24" s="35">
        <v>0</v>
      </c>
      <c r="W24" s="42">
        <f t="shared" si="3"/>
        <v>6800500</v>
      </c>
      <c r="X24" s="165">
        <v>2015</v>
      </c>
      <c r="Y24" s="165">
        <v>2016</v>
      </c>
      <c r="Z24" s="155">
        <f t="shared" ref="Z24:Z33" si="7">Z23+1</f>
        <v>3</v>
      </c>
      <c r="AA24" s="155"/>
    </row>
    <row r="25" spans="1:28" s="118" customFormat="1" ht="18" customHeight="1" x14ac:dyDescent="0.25">
      <c r="A25" s="165">
        <f t="shared" si="4"/>
        <v>7</v>
      </c>
      <c r="B25" s="24" t="s">
        <v>126</v>
      </c>
      <c r="C25" s="143">
        <v>1965</v>
      </c>
      <c r="D25" s="25"/>
      <c r="E25" s="45">
        <v>3799.3</v>
      </c>
      <c r="F25" s="22">
        <v>3526.2</v>
      </c>
      <c r="G25" s="42">
        <f t="shared" si="5"/>
        <v>4440625</v>
      </c>
      <c r="H25" s="35">
        <v>4440625</v>
      </c>
      <c r="I25" s="35">
        <f t="shared" si="6"/>
        <v>1259.3230673245987</v>
      </c>
      <c r="J25" s="35">
        <v>0</v>
      </c>
      <c r="K25" s="35">
        <v>0</v>
      </c>
      <c r="L25" s="35">
        <f>K25/F25</f>
        <v>0</v>
      </c>
      <c r="M25" s="35">
        <v>0</v>
      </c>
      <c r="N25" s="35"/>
      <c r="O25" s="35">
        <v>0</v>
      </c>
      <c r="P25" s="35"/>
      <c r="Q25" s="35">
        <v>0</v>
      </c>
      <c r="R25" s="35"/>
      <c r="S25" s="35">
        <v>0</v>
      </c>
      <c r="T25" s="35">
        <v>0</v>
      </c>
      <c r="U25" s="35">
        <v>0</v>
      </c>
      <c r="V25" s="35">
        <v>0</v>
      </c>
      <c r="W25" s="42">
        <f t="shared" si="3"/>
        <v>4440625</v>
      </c>
      <c r="X25" s="165">
        <v>2015</v>
      </c>
      <c r="Y25" s="165">
        <v>2016</v>
      </c>
      <c r="Z25" s="155">
        <f t="shared" si="7"/>
        <v>4</v>
      </c>
      <c r="AA25" s="155"/>
    </row>
    <row r="26" spans="1:28" s="118" customFormat="1" ht="18" customHeight="1" x14ac:dyDescent="0.25">
      <c r="A26" s="165">
        <f t="shared" si="4"/>
        <v>8</v>
      </c>
      <c r="B26" s="24" t="s">
        <v>127</v>
      </c>
      <c r="C26" s="143">
        <v>1966</v>
      </c>
      <c r="D26" s="25"/>
      <c r="E26" s="45">
        <v>3795.6</v>
      </c>
      <c r="F26" s="22">
        <v>3521.5</v>
      </c>
      <c r="G26" s="42">
        <f t="shared" si="5"/>
        <v>5338900</v>
      </c>
      <c r="H26" s="35">
        <v>1344722.69</v>
      </c>
      <c r="I26" s="35">
        <f t="shared" si="6"/>
        <v>381.8607667187278</v>
      </c>
      <c r="J26" s="35">
        <v>0</v>
      </c>
      <c r="K26" s="35">
        <v>3994177.31</v>
      </c>
      <c r="L26" s="35">
        <f>K26/F26</f>
        <v>1134.2261280704245</v>
      </c>
      <c r="M26" s="35">
        <v>0</v>
      </c>
      <c r="N26" s="35"/>
      <c r="O26" s="35">
        <v>0</v>
      </c>
      <c r="P26" s="35"/>
      <c r="Q26" s="35">
        <v>0</v>
      </c>
      <c r="R26" s="35"/>
      <c r="S26" s="35">
        <v>0</v>
      </c>
      <c r="T26" s="35">
        <v>0</v>
      </c>
      <c r="U26" s="35">
        <v>0</v>
      </c>
      <c r="V26" s="35">
        <v>0</v>
      </c>
      <c r="W26" s="42">
        <f t="shared" si="3"/>
        <v>5338900</v>
      </c>
      <c r="X26" s="165">
        <v>2015</v>
      </c>
      <c r="Y26" s="165">
        <v>2016</v>
      </c>
      <c r="Z26" s="155">
        <f t="shared" si="7"/>
        <v>5</v>
      </c>
      <c r="AA26" s="155"/>
    </row>
    <row r="27" spans="1:28" s="118" customFormat="1" ht="18" customHeight="1" x14ac:dyDescent="0.25">
      <c r="A27" s="165">
        <f t="shared" si="4"/>
        <v>9</v>
      </c>
      <c r="B27" s="24" t="s">
        <v>128</v>
      </c>
      <c r="C27" s="143">
        <v>1965</v>
      </c>
      <c r="D27" s="25"/>
      <c r="E27" s="45">
        <v>3797.3</v>
      </c>
      <c r="F27" s="22">
        <v>3523.4</v>
      </c>
      <c r="G27" s="42">
        <f t="shared" si="5"/>
        <v>811998.99</v>
      </c>
      <c r="H27" s="35">
        <v>811998.99</v>
      </c>
      <c r="I27" s="35">
        <f t="shared" si="6"/>
        <v>230.45892887551796</v>
      </c>
      <c r="J27" s="35">
        <v>0</v>
      </c>
      <c r="K27" s="35">
        <v>0</v>
      </c>
      <c r="L27" s="35"/>
      <c r="M27" s="35">
        <v>0</v>
      </c>
      <c r="N27" s="35"/>
      <c r="O27" s="35">
        <v>0</v>
      </c>
      <c r="P27" s="35"/>
      <c r="Q27" s="35">
        <v>0</v>
      </c>
      <c r="R27" s="35"/>
      <c r="S27" s="35">
        <v>0</v>
      </c>
      <c r="T27" s="35">
        <v>0</v>
      </c>
      <c r="U27" s="35">
        <v>0</v>
      </c>
      <c r="V27" s="35">
        <v>0</v>
      </c>
      <c r="W27" s="42">
        <f t="shared" si="3"/>
        <v>811998.99</v>
      </c>
      <c r="X27" s="165">
        <v>2015</v>
      </c>
      <c r="Y27" s="165">
        <v>2016</v>
      </c>
      <c r="Z27" s="155">
        <f t="shared" si="7"/>
        <v>6</v>
      </c>
      <c r="AA27" s="155"/>
    </row>
    <row r="28" spans="1:28" s="118" customFormat="1" ht="18" customHeight="1" x14ac:dyDescent="0.25">
      <c r="A28" s="165">
        <f t="shared" si="4"/>
        <v>10</v>
      </c>
      <c r="B28" s="24" t="s">
        <v>400</v>
      </c>
      <c r="C28" s="143">
        <v>1951</v>
      </c>
      <c r="D28" s="25"/>
      <c r="E28" s="26">
        <v>618.4</v>
      </c>
      <c r="F28" s="22">
        <v>554.9</v>
      </c>
      <c r="G28" s="42">
        <f t="shared" si="5"/>
        <v>1828206.83</v>
      </c>
      <c r="H28" s="23">
        <v>943024.8</v>
      </c>
      <c r="I28" s="35">
        <f t="shared" si="6"/>
        <v>1699.4499909893675</v>
      </c>
      <c r="J28" s="35">
        <v>0</v>
      </c>
      <c r="K28" s="35">
        <v>885182.03</v>
      </c>
      <c r="L28" s="35">
        <f t="shared" ref="L28:L33" si="8">K28/F28</f>
        <v>1595.2100018021267</v>
      </c>
      <c r="M28" s="35">
        <v>0</v>
      </c>
      <c r="N28" s="35"/>
      <c r="O28" s="35">
        <v>0</v>
      </c>
      <c r="P28" s="35"/>
      <c r="Q28" s="35">
        <v>0</v>
      </c>
      <c r="R28" s="35"/>
      <c r="S28" s="35">
        <v>0</v>
      </c>
      <c r="T28" s="35">
        <v>0</v>
      </c>
      <c r="U28" s="35">
        <v>0</v>
      </c>
      <c r="V28" s="35">
        <v>0</v>
      </c>
      <c r="W28" s="42">
        <f t="shared" si="3"/>
        <v>1828206.83</v>
      </c>
      <c r="X28" s="165">
        <v>2016</v>
      </c>
      <c r="Y28" s="165">
        <v>2016</v>
      </c>
      <c r="Z28" s="155">
        <f t="shared" si="7"/>
        <v>7</v>
      </c>
      <c r="AA28" s="155"/>
    </row>
    <row r="29" spans="1:28" s="118" customFormat="1" ht="18" customHeight="1" x14ac:dyDescent="0.25">
      <c r="A29" s="165">
        <f t="shared" si="4"/>
        <v>11</v>
      </c>
      <c r="B29" s="24" t="s">
        <v>130</v>
      </c>
      <c r="C29" s="143">
        <v>1962</v>
      </c>
      <c r="D29" s="25"/>
      <c r="E29" s="26">
        <v>2764</v>
      </c>
      <c r="F29" s="22">
        <v>2557.9</v>
      </c>
      <c r="G29" s="42">
        <f t="shared" si="5"/>
        <v>7022612.1299999999</v>
      </c>
      <c r="H29" s="23">
        <v>4647192.72</v>
      </c>
      <c r="I29" s="35">
        <f t="shared" si="6"/>
        <v>1816.7999999999997</v>
      </c>
      <c r="J29" s="35">
        <v>0</v>
      </c>
      <c r="K29" s="23">
        <f>ROUND(928.66*2557.9,2)</f>
        <v>2375419.41</v>
      </c>
      <c r="L29" s="35">
        <f t="shared" si="8"/>
        <v>928.65999843621728</v>
      </c>
      <c r="M29" s="35">
        <v>0</v>
      </c>
      <c r="N29" s="35"/>
      <c r="O29" s="35">
        <v>0</v>
      </c>
      <c r="P29" s="35"/>
      <c r="Q29" s="35">
        <v>0</v>
      </c>
      <c r="R29" s="35"/>
      <c r="S29" s="35">
        <v>0</v>
      </c>
      <c r="T29" s="35">
        <v>0</v>
      </c>
      <c r="U29" s="35">
        <v>0</v>
      </c>
      <c r="V29" s="35">
        <v>0</v>
      </c>
      <c r="W29" s="42">
        <f t="shared" si="3"/>
        <v>7022612.1299999999</v>
      </c>
      <c r="X29" s="165">
        <v>2016</v>
      </c>
      <c r="Y29" s="165">
        <v>2016</v>
      </c>
      <c r="Z29" s="155">
        <f t="shared" si="7"/>
        <v>8</v>
      </c>
      <c r="AA29" s="155"/>
    </row>
    <row r="30" spans="1:28" s="118" customFormat="1" ht="18" customHeight="1" x14ac:dyDescent="0.25">
      <c r="A30" s="165">
        <f t="shared" si="4"/>
        <v>12</v>
      </c>
      <c r="B30" s="24" t="s">
        <v>129</v>
      </c>
      <c r="C30" s="143">
        <v>1962</v>
      </c>
      <c r="D30" s="25"/>
      <c r="E30" s="26">
        <v>3428.9</v>
      </c>
      <c r="F30" s="22">
        <v>3183.9</v>
      </c>
      <c r="G30" s="42">
        <f t="shared" si="5"/>
        <v>8898777.629999999</v>
      </c>
      <c r="H30" s="23">
        <v>5986973.7199999997</v>
      </c>
      <c r="I30" s="35">
        <f t="shared" si="6"/>
        <v>1880.3899996859197</v>
      </c>
      <c r="J30" s="35">
        <v>0</v>
      </c>
      <c r="K30" s="23">
        <f>ROUND(914.54*3183.9,2)</f>
        <v>2911803.91</v>
      </c>
      <c r="L30" s="35">
        <f t="shared" si="8"/>
        <v>914.54000125632092</v>
      </c>
      <c r="M30" s="35">
        <v>0</v>
      </c>
      <c r="N30" s="35"/>
      <c r="O30" s="35">
        <v>0</v>
      </c>
      <c r="P30" s="35"/>
      <c r="Q30" s="35">
        <v>0</v>
      </c>
      <c r="R30" s="35"/>
      <c r="S30" s="35">
        <v>0</v>
      </c>
      <c r="T30" s="35">
        <v>0</v>
      </c>
      <c r="U30" s="35">
        <v>0</v>
      </c>
      <c r="V30" s="35">
        <v>0</v>
      </c>
      <c r="W30" s="42">
        <f t="shared" si="3"/>
        <v>8898777.629999999</v>
      </c>
      <c r="X30" s="165">
        <v>2016</v>
      </c>
      <c r="Y30" s="165">
        <v>2016</v>
      </c>
      <c r="Z30" s="155">
        <f t="shared" si="7"/>
        <v>9</v>
      </c>
      <c r="AA30" s="155"/>
    </row>
    <row r="31" spans="1:28" s="118" customFormat="1" ht="18" customHeight="1" x14ac:dyDescent="0.25">
      <c r="A31" s="165">
        <f t="shared" si="4"/>
        <v>13</v>
      </c>
      <c r="B31" s="24" t="s">
        <v>401</v>
      </c>
      <c r="C31" s="143">
        <v>1959</v>
      </c>
      <c r="D31" s="25"/>
      <c r="E31" s="26">
        <v>1786</v>
      </c>
      <c r="F31" s="22">
        <v>1632.8</v>
      </c>
      <c r="G31" s="42">
        <f t="shared" si="5"/>
        <v>5674959.6799999997</v>
      </c>
      <c r="H31" s="23">
        <v>3070300.79</v>
      </c>
      <c r="I31" s="35">
        <f t="shared" si="6"/>
        <v>1880.3899987751104</v>
      </c>
      <c r="J31" s="35">
        <v>0</v>
      </c>
      <c r="K31" s="23">
        <v>2604658.89</v>
      </c>
      <c r="L31" s="35">
        <f t="shared" si="8"/>
        <v>1595.21000122489</v>
      </c>
      <c r="M31" s="35">
        <v>0</v>
      </c>
      <c r="N31" s="35"/>
      <c r="O31" s="35">
        <v>0</v>
      </c>
      <c r="P31" s="35"/>
      <c r="Q31" s="35">
        <v>0</v>
      </c>
      <c r="R31" s="35"/>
      <c r="S31" s="35">
        <v>0</v>
      </c>
      <c r="T31" s="35">
        <v>0</v>
      </c>
      <c r="U31" s="35">
        <v>0</v>
      </c>
      <c r="V31" s="35">
        <v>0</v>
      </c>
      <c r="W31" s="42">
        <f t="shared" si="3"/>
        <v>5674959.6799999997</v>
      </c>
      <c r="X31" s="165">
        <v>2016</v>
      </c>
      <c r="Y31" s="165">
        <v>2016</v>
      </c>
      <c r="Z31" s="155">
        <f t="shared" si="7"/>
        <v>10</v>
      </c>
      <c r="AA31" s="155"/>
    </row>
    <row r="32" spans="1:28" s="118" customFormat="1" ht="18" customHeight="1" x14ac:dyDescent="0.25">
      <c r="A32" s="165">
        <f t="shared" si="4"/>
        <v>14</v>
      </c>
      <c r="B32" s="24" t="s">
        <v>131</v>
      </c>
      <c r="C32" s="143">
        <v>1964</v>
      </c>
      <c r="D32" s="25"/>
      <c r="E32" s="26">
        <v>3585.7</v>
      </c>
      <c r="F32" s="22">
        <v>3313.7</v>
      </c>
      <c r="G32" s="42">
        <f t="shared" si="5"/>
        <v>4718543.1100000003</v>
      </c>
      <c r="H32" s="35">
        <v>1641242.47</v>
      </c>
      <c r="I32" s="35">
        <f t="shared" si="6"/>
        <v>495.28999909466762</v>
      </c>
      <c r="J32" s="35">
        <v>0</v>
      </c>
      <c r="K32" s="23">
        <v>3077300.64</v>
      </c>
      <c r="L32" s="35">
        <f t="shared" si="8"/>
        <v>928.65999939644519</v>
      </c>
      <c r="M32" s="35">
        <v>0</v>
      </c>
      <c r="N32" s="35"/>
      <c r="O32" s="35">
        <v>0</v>
      </c>
      <c r="P32" s="35"/>
      <c r="Q32" s="35">
        <v>0</v>
      </c>
      <c r="R32" s="35"/>
      <c r="S32" s="35">
        <v>0</v>
      </c>
      <c r="T32" s="35">
        <v>0</v>
      </c>
      <c r="U32" s="35">
        <v>0</v>
      </c>
      <c r="V32" s="35">
        <v>0</v>
      </c>
      <c r="W32" s="42">
        <f t="shared" si="3"/>
        <v>4718543.1100000003</v>
      </c>
      <c r="X32" s="165">
        <v>2016</v>
      </c>
      <c r="Y32" s="165">
        <v>2016</v>
      </c>
      <c r="Z32" s="155">
        <f t="shared" si="7"/>
        <v>11</v>
      </c>
      <c r="AA32" s="155"/>
    </row>
    <row r="33" spans="1:28" s="118" customFormat="1" ht="18" customHeight="1" x14ac:dyDescent="0.25">
      <c r="A33" s="165">
        <f t="shared" si="4"/>
        <v>15</v>
      </c>
      <c r="B33" s="24" t="s">
        <v>132</v>
      </c>
      <c r="C33" s="143">
        <v>1958</v>
      </c>
      <c r="D33" s="25"/>
      <c r="E33" s="27">
        <v>2083.34</v>
      </c>
      <c r="F33" s="22">
        <v>1902.1</v>
      </c>
      <c r="G33" s="42">
        <f t="shared" si="5"/>
        <v>6610938.7599999998</v>
      </c>
      <c r="H33" s="35">
        <v>3576689.82</v>
      </c>
      <c r="I33" s="35">
        <f t="shared" si="6"/>
        <v>1880.3900005257346</v>
      </c>
      <c r="J33" s="35">
        <v>0</v>
      </c>
      <c r="K33" s="23">
        <v>3034248.94</v>
      </c>
      <c r="L33" s="35">
        <f t="shared" si="8"/>
        <v>1595.2099994742653</v>
      </c>
      <c r="M33" s="35">
        <v>0</v>
      </c>
      <c r="N33" s="35"/>
      <c r="O33" s="35">
        <v>0</v>
      </c>
      <c r="P33" s="35"/>
      <c r="Q33" s="35">
        <v>0</v>
      </c>
      <c r="R33" s="35"/>
      <c r="S33" s="35">
        <v>0</v>
      </c>
      <c r="T33" s="35">
        <v>0</v>
      </c>
      <c r="U33" s="35">
        <v>0</v>
      </c>
      <c r="V33" s="35">
        <v>0</v>
      </c>
      <c r="W33" s="42">
        <f t="shared" si="3"/>
        <v>6610938.7599999998</v>
      </c>
      <c r="X33" s="165">
        <v>2016</v>
      </c>
      <c r="Y33" s="165">
        <v>2016</v>
      </c>
      <c r="Z33" s="155">
        <f t="shared" si="7"/>
        <v>12</v>
      </c>
      <c r="AA33" s="155"/>
    </row>
    <row r="34" spans="1:28" s="116" customFormat="1" ht="20.100000000000001" customHeight="1" x14ac:dyDescent="0.25">
      <c r="A34" s="183" t="s">
        <v>173</v>
      </c>
      <c r="B34" s="183"/>
      <c r="C34" s="142"/>
      <c r="D34" s="165"/>
      <c r="E34" s="28">
        <v>0</v>
      </c>
      <c r="F34" s="28">
        <v>0</v>
      </c>
      <c r="G34" s="19">
        <v>0</v>
      </c>
      <c r="H34" s="28">
        <v>0</v>
      </c>
      <c r="I34" s="28"/>
      <c r="J34" s="28">
        <v>0</v>
      </c>
      <c r="K34" s="28">
        <v>0</v>
      </c>
      <c r="L34" s="28"/>
      <c r="M34" s="28">
        <v>0</v>
      </c>
      <c r="N34" s="28"/>
      <c r="O34" s="28">
        <v>0</v>
      </c>
      <c r="P34" s="28"/>
      <c r="Q34" s="28">
        <v>0</v>
      </c>
      <c r="R34" s="28"/>
      <c r="S34" s="28">
        <v>0</v>
      </c>
      <c r="T34" s="28">
        <v>0</v>
      </c>
      <c r="U34" s="28">
        <v>0</v>
      </c>
      <c r="V34" s="28">
        <v>0</v>
      </c>
      <c r="W34" s="19">
        <v>0</v>
      </c>
      <c r="X34" s="20" t="s">
        <v>368</v>
      </c>
      <c r="Y34" s="20" t="s">
        <v>368</v>
      </c>
      <c r="Z34" s="156"/>
      <c r="AA34" s="156"/>
    </row>
    <row r="35" spans="1:28" s="116" customFormat="1" ht="20.100000000000001" customHeight="1" x14ac:dyDescent="0.25">
      <c r="A35" s="183" t="s">
        <v>171</v>
      </c>
      <c r="B35" s="183"/>
      <c r="C35" s="142"/>
      <c r="D35" s="165"/>
      <c r="E35" s="29">
        <f>SUM(E19:E21)</f>
        <v>9252.5999999999985</v>
      </c>
      <c r="F35" s="29">
        <f>SUM(F19:F21)</f>
        <v>8585.7999999999993</v>
      </c>
      <c r="G35" s="19">
        <f t="shared" ref="G35:W35" si="9">SUM(G19:G21)</f>
        <v>19673994.629999999</v>
      </c>
      <c r="H35" s="28">
        <f t="shared" si="9"/>
        <v>9472250.0300000012</v>
      </c>
      <c r="I35" s="28"/>
      <c r="J35" s="28">
        <f t="shared" si="9"/>
        <v>0</v>
      </c>
      <c r="K35" s="28">
        <f t="shared" si="9"/>
        <v>9977844.3300000001</v>
      </c>
      <c r="L35" s="28"/>
      <c r="M35" s="28">
        <f t="shared" si="9"/>
        <v>0</v>
      </c>
      <c r="N35" s="28"/>
      <c r="O35" s="28">
        <f t="shared" si="9"/>
        <v>0</v>
      </c>
      <c r="P35" s="28"/>
      <c r="Q35" s="28">
        <f t="shared" si="9"/>
        <v>223900.27</v>
      </c>
      <c r="R35" s="28"/>
      <c r="S35" s="28">
        <f t="shared" si="9"/>
        <v>0</v>
      </c>
      <c r="T35" s="28">
        <f t="shared" si="9"/>
        <v>0</v>
      </c>
      <c r="U35" s="28">
        <f t="shared" si="9"/>
        <v>0</v>
      </c>
      <c r="V35" s="28">
        <f t="shared" si="9"/>
        <v>0</v>
      </c>
      <c r="W35" s="19">
        <f t="shared" si="9"/>
        <v>19673994.629999999</v>
      </c>
      <c r="X35" s="20" t="s">
        <v>368</v>
      </c>
      <c r="Y35" s="20" t="s">
        <v>368</v>
      </c>
      <c r="Z35" s="156"/>
      <c r="AA35" s="156"/>
    </row>
    <row r="36" spans="1:28" s="116" customFormat="1" ht="20.100000000000001" customHeight="1" x14ac:dyDescent="0.25">
      <c r="A36" s="183" t="s">
        <v>172</v>
      </c>
      <c r="B36" s="183"/>
      <c r="C36" s="142"/>
      <c r="D36" s="165"/>
      <c r="E36" s="28">
        <f>SUM(E22:E33)</f>
        <v>37856.14</v>
      </c>
      <c r="F36" s="29">
        <f>SUM(F22:F33)</f>
        <v>35052</v>
      </c>
      <c r="G36" s="19">
        <f t="shared" ref="G36:W36" si="10">SUM(G22:G33)</f>
        <v>65544061.120000005</v>
      </c>
      <c r="H36" s="28">
        <f t="shared" si="10"/>
        <v>38940174.399999999</v>
      </c>
      <c r="I36" s="28"/>
      <c r="J36" s="28">
        <f t="shared" si="10"/>
        <v>0</v>
      </c>
      <c r="K36" s="28">
        <f t="shared" si="10"/>
        <v>26482766.510000002</v>
      </c>
      <c r="L36" s="28"/>
      <c r="M36" s="28">
        <f t="shared" si="10"/>
        <v>0</v>
      </c>
      <c r="N36" s="28"/>
      <c r="O36" s="28">
        <f t="shared" si="10"/>
        <v>0</v>
      </c>
      <c r="P36" s="28"/>
      <c r="Q36" s="28">
        <f t="shared" si="10"/>
        <v>121120.21</v>
      </c>
      <c r="R36" s="28"/>
      <c r="S36" s="28">
        <f t="shared" si="10"/>
        <v>0</v>
      </c>
      <c r="T36" s="28">
        <f t="shared" si="10"/>
        <v>0</v>
      </c>
      <c r="U36" s="28">
        <f t="shared" si="10"/>
        <v>0</v>
      </c>
      <c r="V36" s="28">
        <f t="shared" si="10"/>
        <v>0</v>
      </c>
      <c r="W36" s="19">
        <f t="shared" si="10"/>
        <v>65544061.120000005</v>
      </c>
      <c r="X36" s="20" t="s">
        <v>368</v>
      </c>
      <c r="Y36" s="20" t="s">
        <v>368</v>
      </c>
      <c r="Z36" s="156"/>
      <c r="AA36" s="156"/>
      <c r="AB36" s="157">
        <f>T36+V36+W36</f>
        <v>65544061.120000005</v>
      </c>
    </row>
    <row r="37" spans="1:28" s="116" customFormat="1" ht="18" customHeight="1" x14ac:dyDescent="0.25">
      <c r="A37" s="182" t="s">
        <v>99</v>
      </c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W37" s="182"/>
      <c r="X37" s="119"/>
      <c r="Y37" s="119"/>
      <c r="Z37" s="156"/>
      <c r="AA37" s="156"/>
    </row>
    <row r="38" spans="1:28" s="118" customFormat="1" ht="18" customHeight="1" x14ac:dyDescent="0.3">
      <c r="A38" s="165">
        <f>A33+1</f>
        <v>16</v>
      </c>
      <c r="B38" s="24" t="s">
        <v>29</v>
      </c>
      <c r="C38" s="143">
        <v>1955</v>
      </c>
      <c r="D38" s="25"/>
      <c r="E38" s="45">
        <v>2377.5</v>
      </c>
      <c r="F38" s="31">
        <v>2172.1</v>
      </c>
      <c r="G38" s="42">
        <f>SUM(H38:S38)</f>
        <v>20050963.300000001</v>
      </c>
      <c r="H38" s="32">
        <v>7706355.0800000001</v>
      </c>
      <c r="I38" s="32"/>
      <c r="J38" s="35">
        <v>0</v>
      </c>
      <c r="K38" s="33">
        <v>3875014.98</v>
      </c>
      <c r="L38" s="35"/>
      <c r="M38" s="35">
        <v>0</v>
      </c>
      <c r="N38" s="35"/>
      <c r="O38" s="33">
        <v>7369593.2400000002</v>
      </c>
      <c r="P38" s="35"/>
      <c r="Q38" s="35">
        <v>0</v>
      </c>
      <c r="R38" s="35"/>
      <c r="S38" s="35">
        <v>1100000</v>
      </c>
      <c r="T38" s="34">
        <f>ROUND(G38*0.4474,2)-0.32</f>
        <v>8970800.6600000001</v>
      </c>
      <c r="U38" s="35">
        <v>0</v>
      </c>
      <c r="V38" s="35">
        <f>G38-T38</f>
        <v>11080162.640000001</v>
      </c>
      <c r="W38" s="42">
        <v>0</v>
      </c>
      <c r="X38" s="165">
        <v>2014</v>
      </c>
      <c r="Y38" s="165">
        <v>2015</v>
      </c>
      <c r="Z38" s="155"/>
      <c r="AA38" s="155"/>
    </row>
    <row r="39" spans="1:28" s="118" customFormat="1" ht="18" customHeight="1" x14ac:dyDescent="0.3">
      <c r="A39" s="165">
        <f>A38+1</f>
        <v>17</v>
      </c>
      <c r="B39" s="24" t="s">
        <v>18</v>
      </c>
      <c r="C39" s="143">
        <v>1940</v>
      </c>
      <c r="D39" s="25"/>
      <c r="E39" s="45">
        <v>2296.6999999999998</v>
      </c>
      <c r="F39" s="31">
        <v>1768.7</v>
      </c>
      <c r="G39" s="42">
        <f>SUM(H39:S39)</f>
        <v>8493700.5099999998</v>
      </c>
      <c r="H39" s="35">
        <v>0</v>
      </c>
      <c r="I39" s="35"/>
      <c r="J39" s="35">
        <v>0</v>
      </c>
      <c r="K39" s="35">
        <v>2141308.16</v>
      </c>
      <c r="L39" s="35"/>
      <c r="M39" s="35">
        <v>0</v>
      </c>
      <c r="N39" s="35"/>
      <c r="O39" s="35">
        <v>6352392.3499999996</v>
      </c>
      <c r="P39" s="35"/>
      <c r="Q39" s="35">
        <v>0</v>
      </c>
      <c r="R39" s="35"/>
      <c r="S39" s="35">
        <v>0</v>
      </c>
      <c r="T39" s="34">
        <f>3931815.18-131733.57</f>
        <v>3800081.6100000003</v>
      </c>
      <c r="U39" s="35">
        <v>0</v>
      </c>
      <c r="V39" s="35">
        <f>G39-T39</f>
        <v>4693618.8999999994</v>
      </c>
      <c r="W39" s="42">
        <v>0</v>
      </c>
      <c r="X39" s="165">
        <v>2014</v>
      </c>
      <c r="Y39" s="165">
        <v>2015</v>
      </c>
      <c r="Z39" s="155"/>
      <c r="AA39" s="155"/>
    </row>
    <row r="40" spans="1:28" s="118" customFormat="1" ht="18" customHeight="1" x14ac:dyDescent="0.3">
      <c r="A40" s="165">
        <f t="shared" ref="A40" si="11">A39+1</f>
        <v>18</v>
      </c>
      <c r="B40" s="24" t="s">
        <v>104</v>
      </c>
      <c r="C40" s="143">
        <v>1959</v>
      </c>
      <c r="D40" s="25"/>
      <c r="E40" s="45">
        <v>4325.6000000000004</v>
      </c>
      <c r="F40" s="36">
        <v>3552.5</v>
      </c>
      <c r="G40" s="42">
        <f>SUM(H40:S40)</f>
        <v>5442223.96</v>
      </c>
      <c r="H40" s="35">
        <v>0</v>
      </c>
      <c r="I40" s="35"/>
      <c r="J40" s="35">
        <v>0</v>
      </c>
      <c r="K40" s="35">
        <f>940173+14102.6</f>
        <v>954275.6</v>
      </c>
      <c r="L40" s="35"/>
      <c r="M40" s="35">
        <v>0</v>
      </c>
      <c r="N40" s="35"/>
      <c r="O40" s="35">
        <v>4487948.3600000003</v>
      </c>
      <c r="P40" s="35"/>
      <c r="Q40" s="35">
        <v>0</v>
      </c>
      <c r="R40" s="35"/>
      <c r="S40" s="35">
        <v>0</v>
      </c>
      <c r="T40" s="34">
        <f>2434851-32.2</f>
        <v>2434818.7999999998</v>
      </c>
      <c r="U40" s="35">
        <v>0</v>
      </c>
      <c r="V40" s="35">
        <f>G40-T40</f>
        <v>3007405.16</v>
      </c>
      <c r="W40" s="42">
        <v>0</v>
      </c>
      <c r="X40" s="165">
        <v>2014</v>
      </c>
      <c r="Y40" s="165">
        <v>2015</v>
      </c>
      <c r="Z40" s="155"/>
      <c r="AA40" s="155"/>
    </row>
    <row r="41" spans="1:28" s="118" customFormat="1" ht="18" customHeight="1" x14ac:dyDescent="0.3">
      <c r="A41" s="165">
        <f>A40+1</f>
        <v>19</v>
      </c>
      <c r="B41" s="37" t="s">
        <v>205</v>
      </c>
      <c r="C41" s="160">
        <v>1949</v>
      </c>
      <c r="D41" s="161"/>
      <c r="E41" s="162">
        <v>7532.3</v>
      </c>
      <c r="F41" s="162">
        <v>5486.8</v>
      </c>
      <c r="G41" s="42">
        <f t="shared" ref="G41:G43" si="12">H41+J41+K41+M41+O41+Q41+S41</f>
        <v>4136823.6</v>
      </c>
      <c r="H41" s="38">
        <v>4136823.6</v>
      </c>
      <c r="I41" s="163">
        <f>H41/F41</f>
        <v>753.95924764890276</v>
      </c>
      <c r="J41" s="35">
        <v>0</v>
      </c>
      <c r="K41" s="35">
        <v>0</v>
      </c>
      <c r="L41" s="35"/>
      <c r="M41" s="35">
        <v>0</v>
      </c>
      <c r="N41" s="35"/>
      <c r="O41" s="35">
        <v>0</v>
      </c>
      <c r="P41" s="35"/>
      <c r="Q41" s="35">
        <v>0</v>
      </c>
      <c r="R41" s="35"/>
      <c r="S41" s="35">
        <v>0</v>
      </c>
      <c r="T41" s="35">
        <v>0</v>
      </c>
      <c r="U41" s="35">
        <v>0</v>
      </c>
      <c r="V41" s="35">
        <v>0</v>
      </c>
      <c r="W41" s="85">
        <f>G41</f>
        <v>4136823.6</v>
      </c>
      <c r="X41" s="165">
        <v>2016</v>
      </c>
      <c r="Y41" s="165">
        <v>2016</v>
      </c>
      <c r="Z41" s="155">
        <f>Z33+1</f>
        <v>13</v>
      </c>
      <c r="AA41" s="155">
        <f>AA33+1</f>
        <v>1</v>
      </c>
    </row>
    <row r="42" spans="1:28" s="118" customFormat="1" ht="18" customHeight="1" x14ac:dyDescent="0.3">
      <c r="A42" s="165">
        <f>A41+1</f>
        <v>20</v>
      </c>
      <c r="B42" s="24" t="s">
        <v>133</v>
      </c>
      <c r="C42" s="143">
        <v>1959</v>
      </c>
      <c r="D42" s="25"/>
      <c r="E42" s="45">
        <v>3945.6</v>
      </c>
      <c r="F42" s="36">
        <v>3704.3</v>
      </c>
      <c r="G42" s="42">
        <f t="shared" si="12"/>
        <v>25313293.25</v>
      </c>
      <c r="H42" s="35">
        <v>0</v>
      </c>
      <c r="I42" s="35"/>
      <c r="J42" s="35">
        <v>0</v>
      </c>
      <c r="K42" s="35">
        <v>4522954.3899999997</v>
      </c>
      <c r="L42" s="35">
        <f>K42/F42</f>
        <v>1221.0011041222363</v>
      </c>
      <c r="M42" s="35">
        <v>0</v>
      </c>
      <c r="N42" s="35"/>
      <c r="O42" s="35">
        <v>20790338.859999999</v>
      </c>
      <c r="P42" s="35">
        <f>O42/F42</f>
        <v>5612.4878816510536</v>
      </c>
      <c r="Q42" s="35">
        <v>0</v>
      </c>
      <c r="R42" s="35"/>
      <c r="S42" s="35">
        <v>0</v>
      </c>
      <c r="T42" s="35">
        <v>3847058.54</v>
      </c>
      <c r="U42" s="35">
        <v>0</v>
      </c>
      <c r="V42" s="35">
        <v>6328323.3099999996</v>
      </c>
      <c r="W42" s="154">
        <v>15137911.4</v>
      </c>
      <c r="X42" s="165">
        <v>2015</v>
      </c>
      <c r="Y42" s="165">
        <v>2016</v>
      </c>
      <c r="Z42" s="155">
        <f>Z41+1</f>
        <v>14</v>
      </c>
      <c r="AA42" s="155">
        <f>AA41+1</f>
        <v>2</v>
      </c>
      <c r="AB42" s="159">
        <f>T42+V42+W42</f>
        <v>25313293.25</v>
      </c>
    </row>
    <row r="43" spans="1:28" s="118" customFormat="1" ht="18" customHeight="1" x14ac:dyDescent="0.3">
      <c r="A43" s="165">
        <f>A42+1</f>
        <v>21</v>
      </c>
      <c r="B43" s="24" t="s">
        <v>104</v>
      </c>
      <c r="C43" s="143">
        <v>1959</v>
      </c>
      <c r="D43" s="25"/>
      <c r="E43" s="45">
        <v>4325.6000000000004</v>
      </c>
      <c r="F43" s="36">
        <v>3552.5</v>
      </c>
      <c r="G43" s="42">
        <f t="shared" si="12"/>
        <v>7434525</v>
      </c>
      <c r="H43" s="35">
        <v>7434525</v>
      </c>
      <c r="I43" s="35">
        <f>H43/F43</f>
        <v>2092.7586206896553</v>
      </c>
      <c r="J43" s="35">
        <v>0</v>
      </c>
      <c r="K43" s="35">
        <v>0</v>
      </c>
      <c r="L43" s="35"/>
      <c r="M43" s="35">
        <v>0</v>
      </c>
      <c r="N43" s="35"/>
      <c r="O43" s="35">
        <v>0</v>
      </c>
      <c r="P43" s="35"/>
      <c r="Q43" s="35">
        <v>0</v>
      </c>
      <c r="R43" s="35"/>
      <c r="S43" s="35">
        <v>0</v>
      </c>
      <c r="T43" s="35">
        <v>1129882.73</v>
      </c>
      <c r="U43" s="35">
        <v>0</v>
      </c>
      <c r="V43" s="35">
        <v>1858631.25</v>
      </c>
      <c r="W43" s="154">
        <v>4446011.0199999996</v>
      </c>
      <c r="X43" s="165">
        <v>2015</v>
      </c>
      <c r="Y43" s="165">
        <v>2016</v>
      </c>
      <c r="Z43" s="155">
        <f>Z42+1</f>
        <v>15</v>
      </c>
      <c r="AA43" s="155">
        <f>AA42+1</f>
        <v>3</v>
      </c>
      <c r="AB43" s="159">
        <f>T43+V43+W43</f>
        <v>7434525</v>
      </c>
    </row>
    <row r="44" spans="1:28" s="116" customFormat="1" ht="19.5" customHeight="1" x14ac:dyDescent="0.25">
      <c r="A44" s="183" t="s">
        <v>173</v>
      </c>
      <c r="B44" s="183"/>
      <c r="C44" s="143"/>
      <c r="D44" s="25"/>
      <c r="E44" s="28">
        <v>0</v>
      </c>
      <c r="F44" s="28">
        <v>0</v>
      </c>
      <c r="G44" s="19">
        <v>0</v>
      </c>
      <c r="H44" s="28">
        <v>0</v>
      </c>
      <c r="I44" s="28"/>
      <c r="J44" s="28">
        <v>0</v>
      </c>
      <c r="K44" s="28">
        <v>0</v>
      </c>
      <c r="L44" s="28"/>
      <c r="M44" s="28">
        <v>0</v>
      </c>
      <c r="N44" s="28"/>
      <c r="O44" s="28">
        <v>0</v>
      </c>
      <c r="P44" s="28"/>
      <c r="Q44" s="28">
        <v>0</v>
      </c>
      <c r="R44" s="28"/>
      <c r="S44" s="28">
        <v>0</v>
      </c>
      <c r="T44" s="28">
        <v>0</v>
      </c>
      <c r="U44" s="28">
        <v>0</v>
      </c>
      <c r="V44" s="28">
        <v>0</v>
      </c>
      <c r="W44" s="19">
        <v>0</v>
      </c>
      <c r="X44" s="20" t="s">
        <v>368</v>
      </c>
      <c r="Y44" s="20" t="s">
        <v>368</v>
      </c>
      <c r="Z44" s="156"/>
      <c r="AA44" s="156"/>
    </row>
    <row r="45" spans="1:28" s="116" customFormat="1" ht="19.5" customHeight="1" x14ac:dyDescent="0.25">
      <c r="A45" s="183" t="s">
        <v>171</v>
      </c>
      <c r="B45" s="183"/>
      <c r="C45" s="144"/>
      <c r="D45" s="167"/>
      <c r="E45" s="29">
        <f>SUM(E38:E40)</f>
        <v>8999.7999999999993</v>
      </c>
      <c r="F45" s="29">
        <f>SUM(F38:F40)</f>
        <v>7493.3</v>
      </c>
      <c r="G45" s="19">
        <f t="shared" ref="G45:W45" si="13">SUM(G38:G40)</f>
        <v>33986887.770000003</v>
      </c>
      <c r="H45" s="28">
        <f t="shared" si="13"/>
        <v>7706355.0800000001</v>
      </c>
      <c r="I45" s="28"/>
      <c r="J45" s="28">
        <f t="shared" si="13"/>
        <v>0</v>
      </c>
      <c r="K45" s="28">
        <f t="shared" si="13"/>
        <v>6970598.7400000002</v>
      </c>
      <c r="L45" s="28"/>
      <c r="M45" s="28">
        <f t="shared" si="13"/>
        <v>0</v>
      </c>
      <c r="N45" s="28"/>
      <c r="O45" s="28">
        <f t="shared" si="13"/>
        <v>18209933.949999999</v>
      </c>
      <c r="P45" s="28"/>
      <c r="Q45" s="28">
        <f t="shared" si="13"/>
        <v>0</v>
      </c>
      <c r="R45" s="28"/>
      <c r="S45" s="28">
        <f t="shared" si="13"/>
        <v>1100000</v>
      </c>
      <c r="T45" s="28">
        <f t="shared" si="13"/>
        <v>15205701.07</v>
      </c>
      <c r="U45" s="28">
        <f t="shared" si="13"/>
        <v>0</v>
      </c>
      <c r="V45" s="28">
        <f t="shared" si="13"/>
        <v>18781186.699999999</v>
      </c>
      <c r="W45" s="19">
        <f t="shared" si="13"/>
        <v>0</v>
      </c>
      <c r="X45" s="20" t="s">
        <v>368</v>
      </c>
      <c r="Y45" s="20" t="s">
        <v>368</v>
      </c>
      <c r="Z45" s="156"/>
      <c r="AA45" s="156"/>
    </row>
    <row r="46" spans="1:28" s="116" customFormat="1" ht="19.5" customHeight="1" x14ac:dyDescent="0.25">
      <c r="A46" s="183" t="s">
        <v>172</v>
      </c>
      <c r="B46" s="183"/>
      <c r="C46" s="144"/>
      <c r="D46" s="167"/>
      <c r="E46" s="29">
        <f>SUM(E41:E43)</f>
        <v>15803.5</v>
      </c>
      <c r="F46" s="29">
        <f>SUM(F41:F43)</f>
        <v>12743.6</v>
      </c>
      <c r="G46" s="19">
        <f>SUM(G41:G43)</f>
        <v>36884641.850000001</v>
      </c>
      <c r="H46" s="28">
        <f>SUM(H41:H43)</f>
        <v>11571348.6</v>
      </c>
      <c r="I46" s="28"/>
      <c r="J46" s="28">
        <f>SUM(J41:J43)</f>
        <v>0</v>
      </c>
      <c r="K46" s="28">
        <f>SUM(K41:K43)</f>
        <v>4522954.3899999997</v>
      </c>
      <c r="L46" s="28"/>
      <c r="M46" s="28">
        <f>SUM(M41:M43)</f>
        <v>0</v>
      </c>
      <c r="N46" s="28"/>
      <c r="O46" s="28">
        <f>SUM(O41:O43)</f>
        <v>20790338.859999999</v>
      </c>
      <c r="P46" s="28"/>
      <c r="Q46" s="28">
        <f>SUM(Q41:Q43)</f>
        <v>0</v>
      </c>
      <c r="R46" s="28"/>
      <c r="S46" s="28">
        <f>SUM(S41:S43)</f>
        <v>0</v>
      </c>
      <c r="T46" s="28">
        <f>SUM(T41:T43)</f>
        <v>4976941.2699999996</v>
      </c>
      <c r="U46" s="28">
        <f>SUM(U41:U43)</f>
        <v>0</v>
      </c>
      <c r="V46" s="28">
        <f>SUM(V41:V43)</f>
        <v>8186954.5599999996</v>
      </c>
      <c r="W46" s="19">
        <f>SUM(W41:W43)</f>
        <v>23720746.02</v>
      </c>
      <c r="X46" s="20" t="s">
        <v>368</v>
      </c>
      <c r="Y46" s="20" t="s">
        <v>368</v>
      </c>
      <c r="Z46" s="156"/>
      <c r="AA46" s="156"/>
      <c r="AB46" s="157">
        <f>T46+V46+W46</f>
        <v>36884641.849999994</v>
      </c>
    </row>
    <row r="47" spans="1:28" s="116" customFormat="1" ht="16.5" customHeight="1" x14ac:dyDescent="0.25">
      <c r="A47" s="182" t="s">
        <v>458</v>
      </c>
      <c r="B47" s="182"/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  <c r="U47" s="182"/>
      <c r="V47" s="182"/>
      <c r="W47" s="182"/>
      <c r="X47" s="167"/>
      <c r="Y47" s="167"/>
      <c r="Z47" s="156"/>
      <c r="AA47" s="156"/>
    </row>
    <row r="48" spans="1:28" s="116" customFormat="1" ht="18" customHeight="1" x14ac:dyDescent="0.25">
      <c r="A48" s="165">
        <f>A43+1</f>
        <v>22</v>
      </c>
      <c r="B48" s="24" t="s">
        <v>459</v>
      </c>
      <c r="C48" s="142">
        <v>1963</v>
      </c>
      <c r="D48" s="47"/>
      <c r="E48" s="45">
        <v>1735.5</v>
      </c>
      <c r="F48" s="45">
        <v>1379.1</v>
      </c>
      <c r="G48" s="42">
        <f t="shared" ref="G48:G54" si="14">SUM(H48:S48)</f>
        <v>1270000</v>
      </c>
      <c r="H48" s="35">
        <v>1270000</v>
      </c>
      <c r="I48" s="35"/>
      <c r="J48" s="35">
        <v>0</v>
      </c>
      <c r="K48" s="35">
        <v>0</v>
      </c>
      <c r="L48" s="35"/>
      <c r="M48" s="35">
        <v>0</v>
      </c>
      <c r="N48" s="35"/>
      <c r="O48" s="35">
        <v>0</v>
      </c>
      <c r="P48" s="35"/>
      <c r="Q48" s="35">
        <v>0</v>
      </c>
      <c r="R48" s="35"/>
      <c r="S48" s="35">
        <v>0</v>
      </c>
      <c r="T48" s="35">
        <v>0</v>
      </c>
      <c r="U48" s="35">
        <v>0</v>
      </c>
      <c r="V48" s="35">
        <v>0</v>
      </c>
      <c r="W48" s="42">
        <f t="shared" ref="W48:W64" si="15">G48</f>
        <v>1270000</v>
      </c>
      <c r="X48" s="165">
        <v>2015</v>
      </c>
      <c r="Y48" s="165">
        <v>2015</v>
      </c>
      <c r="Z48" s="156"/>
      <c r="AA48" s="156"/>
    </row>
    <row r="49" spans="1:27" s="116" customFormat="1" ht="18" customHeight="1" x14ac:dyDescent="0.25">
      <c r="A49" s="165">
        <f t="shared" ref="A49:A64" si="16">A48+1</f>
        <v>23</v>
      </c>
      <c r="B49" s="24" t="s">
        <v>460</v>
      </c>
      <c r="C49" s="142">
        <v>1961</v>
      </c>
      <c r="D49" s="47"/>
      <c r="E49" s="45">
        <v>1362.5</v>
      </c>
      <c r="F49" s="45">
        <v>1261.7</v>
      </c>
      <c r="G49" s="42">
        <f t="shared" si="14"/>
        <v>1300000</v>
      </c>
      <c r="H49" s="35">
        <v>1300000</v>
      </c>
      <c r="I49" s="35"/>
      <c r="J49" s="35">
        <v>0</v>
      </c>
      <c r="K49" s="35">
        <v>0</v>
      </c>
      <c r="L49" s="35"/>
      <c r="M49" s="35">
        <v>0</v>
      </c>
      <c r="N49" s="35"/>
      <c r="O49" s="35">
        <v>0</v>
      </c>
      <c r="P49" s="35"/>
      <c r="Q49" s="35">
        <v>0</v>
      </c>
      <c r="R49" s="35"/>
      <c r="S49" s="35">
        <v>0</v>
      </c>
      <c r="T49" s="35">
        <v>0</v>
      </c>
      <c r="U49" s="35">
        <v>0</v>
      </c>
      <c r="V49" s="35">
        <v>0</v>
      </c>
      <c r="W49" s="42">
        <f t="shared" si="15"/>
        <v>1300000</v>
      </c>
      <c r="X49" s="165">
        <v>2015</v>
      </c>
      <c r="Y49" s="165">
        <v>2015</v>
      </c>
      <c r="Z49" s="156"/>
      <c r="AA49" s="156"/>
    </row>
    <row r="50" spans="1:27" s="116" customFormat="1" ht="18" customHeight="1" x14ac:dyDescent="0.25">
      <c r="A50" s="165">
        <f t="shared" si="16"/>
        <v>24</v>
      </c>
      <c r="B50" s="24" t="s">
        <v>461</v>
      </c>
      <c r="C50" s="142">
        <v>1957</v>
      </c>
      <c r="D50" s="47"/>
      <c r="E50" s="45">
        <v>671.1</v>
      </c>
      <c r="F50" s="45">
        <v>615</v>
      </c>
      <c r="G50" s="42">
        <f t="shared" si="14"/>
        <v>476254.63</v>
      </c>
      <c r="H50" s="35">
        <v>476254.63</v>
      </c>
      <c r="I50" s="35"/>
      <c r="J50" s="35">
        <v>0</v>
      </c>
      <c r="K50" s="35">
        <v>0</v>
      </c>
      <c r="L50" s="35"/>
      <c r="M50" s="35">
        <v>0</v>
      </c>
      <c r="N50" s="35"/>
      <c r="O50" s="35">
        <v>0</v>
      </c>
      <c r="P50" s="35"/>
      <c r="Q50" s="35">
        <v>0</v>
      </c>
      <c r="R50" s="35"/>
      <c r="S50" s="35">
        <v>0</v>
      </c>
      <c r="T50" s="35">
        <v>0</v>
      </c>
      <c r="U50" s="35">
        <v>0</v>
      </c>
      <c r="V50" s="35">
        <v>0</v>
      </c>
      <c r="W50" s="42">
        <f t="shared" si="15"/>
        <v>476254.63</v>
      </c>
      <c r="X50" s="165">
        <v>2015</v>
      </c>
      <c r="Y50" s="165">
        <v>2015</v>
      </c>
      <c r="Z50" s="156"/>
      <c r="AA50" s="156"/>
    </row>
    <row r="51" spans="1:27" s="116" customFormat="1" ht="18" customHeight="1" x14ac:dyDescent="0.25">
      <c r="A51" s="165">
        <f t="shared" si="16"/>
        <v>25</v>
      </c>
      <c r="B51" s="24" t="s">
        <v>462</v>
      </c>
      <c r="C51" s="142">
        <v>1957</v>
      </c>
      <c r="D51" s="47"/>
      <c r="E51" s="45">
        <v>422.5</v>
      </c>
      <c r="F51" s="45">
        <v>380.7</v>
      </c>
      <c r="G51" s="42">
        <f t="shared" si="14"/>
        <v>392000</v>
      </c>
      <c r="H51" s="35">
        <v>392000</v>
      </c>
      <c r="I51" s="35"/>
      <c r="J51" s="35">
        <v>0</v>
      </c>
      <c r="K51" s="35">
        <v>0</v>
      </c>
      <c r="L51" s="35"/>
      <c r="M51" s="35">
        <v>0</v>
      </c>
      <c r="N51" s="35"/>
      <c r="O51" s="35">
        <v>0</v>
      </c>
      <c r="P51" s="35"/>
      <c r="Q51" s="35">
        <v>0</v>
      </c>
      <c r="R51" s="35"/>
      <c r="S51" s="35">
        <v>0</v>
      </c>
      <c r="T51" s="35">
        <v>0</v>
      </c>
      <c r="U51" s="35">
        <v>0</v>
      </c>
      <c r="V51" s="35">
        <v>0</v>
      </c>
      <c r="W51" s="42">
        <f t="shared" si="15"/>
        <v>392000</v>
      </c>
      <c r="X51" s="165">
        <v>2015</v>
      </c>
      <c r="Y51" s="165">
        <v>2015</v>
      </c>
      <c r="Z51" s="156"/>
      <c r="AA51" s="156"/>
    </row>
    <row r="52" spans="1:27" s="116" customFormat="1" ht="18" customHeight="1" x14ac:dyDescent="0.25">
      <c r="A52" s="165">
        <f t="shared" si="16"/>
        <v>26</v>
      </c>
      <c r="B52" s="24" t="s">
        <v>463</v>
      </c>
      <c r="C52" s="142">
        <v>1957</v>
      </c>
      <c r="D52" s="47"/>
      <c r="E52" s="45">
        <v>691.2</v>
      </c>
      <c r="F52" s="45">
        <v>621.79999999999995</v>
      </c>
      <c r="G52" s="42">
        <f t="shared" si="14"/>
        <v>483715.73</v>
      </c>
      <c r="H52" s="35">
        <v>483715.73</v>
      </c>
      <c r="I52" s="35"/>
      <c r="J52" s="35">
        <v>0</v>
      </c>
      <c r="K52" s="35">
        <v>0</v>
      </c>
      <c r="L52" s="35"/>
      <c r="M52" s="35">
        <v>0</v>
      </c>
      <c r="N52" s="35"/>
      <c r="O52" s="35">
        <v>0</v>
      </c>
      <c r="P52" s="35"/>
      <c r="Q52" s="35">
        <v>0</v>
      </c>
      <c r="R52" s="35"/>
      <c r="S52" s="35">
        <v>0</v>
      </c>
      <c r="T52" s="35">
        <v>0</v>
      </c>
      <c r="U52" s="35">
        <v>0</v>
      </c>
      <c r="V52" s="35">
        <v>0</v>
      </c>
      <c r="W52" s="42">
        <f t="shared" si="15"/>
        <v>483715.73</v>
      </c>
      <c r="X52" s="165">
        <v>2015</v>
      </c>
      <c r="Y52" s="165">
        <v>2015</v>
      </c>
      <c r="Z52" s="156"/>
      <c r="AA52" s="156"/>
    </row>
    <row r="53" spans="1:27" s="116" customFormat="1" ht="18" customHeight="1" x14ac:dyDescent="0.25">
      <c r="A53" s="165">
        <f t="shared" si="16"/>
        <v>27</v>
      </c>
      <c r="B53" s="24" t="s">
        <v>464</v>
      </c>
      <c r="C53" s="142">
        <v>1958</v>
      </c>
      <c r="D53" s="47"/>
      <c r="E53" s="45">
        <v>428.7</v>
      </c>
      <c r="F53" s="45">
        <v>387.3</v>
      </c>
      <c r="G53" s="42">
        <f t="shared" si="14"/>
        <v>397000</v>
      </c>
      <c r="H53" s="35">
        <v>397000</v>
      </c>
      <c r="I53" s="35"/>
      <c r="J53" s="35">
        <v>0</v>
      </c>
      <c r="K53" s="35">
        <v>0</v>
      </c>
      <c r="L53" s="35"/>
      <c r="M53" s="35">
        <v>0</v>
      </c>
      <c r="N53" s="35"/>
      <c r="O53" s="35">
        <v>0</v>
      </c>
      <c r="P53" s="35"/>
      <c r="Q53" s="35">
        <v>0</v>
      </c>
      <c r="R53" s="35"/>
      <c r="S53" s="35">
        <v>0</v>
      </c>
      <c r="T53" s="35">
        <v>0</v>
      </c>
      <c r="U53" s="35">
        <v>0</v>
      </c>
      <c r="V53" s="35">
        <v>0</v>
      </c>
      <c r="W53" s="42">
        <f t="shared" si="15"/>
        <v>397000</v>
      </c>
      <c r="X53" s="165">
        <v>2015</v>
      </c>
      <c r="Y53" s="165">
        <v>2015</v>
      </c>
      <c r="Z53" s="156"/>
      <c r="AA53" s="156"/>
    </row>
    <row r="54" spans="1:27" s="116" customFormat="1" ht="18" customHeight="1" x14ac:dyDescent="0.25">
      <c r="A54" s="165">
        <f t="shared" si="16"/>
        <v>28</v>
      </c>
      <c r="B54" s="24" t="s">
        <v>465</v>
      </c>
      <c r="C54" s="142">
        <v>1958</v>
      </c>
      <c r="D54" s="47"/>
      <c r="E54" s="45">
        <v>1312.9</v>
      </c>
      <c r="F54" s="45">
        <v>1298.3</v>
      </c>
      <c r="G54" s="42">
        <f t="shared" si="14"/>
        <v>1342959.44</v>
      </c>
      <c r="H54" s="35">
        <v>1342959.44</v>
      </c>
      <c r="I54" s="35"/>
      <c r="J54" s="35">
        <v>0</v>
      </c>
      <c r="K54" s="35">
        <v>0</v>
      </c>
      <c r="L54" s="35"/>
      <c r="M54" s="35">
        <v>0</v>
      </c>
      <c r="N54" s="35"/>
      <c r="O54" s="35">
        <v>0</v>
      </c>
      <c r="P54" s="35"/>
      <c r="Q54" s="35">
        <v>0</v>
      </c>
      <c r="R54" s="35"/>
      <c r="S54" s="35">
        <v>0</v>
      </c>
      <c r="T54" s="35">
        <v>0</v>
      </c>
      <c r="U54" s="35">
        <v>0</v>
      </c>
      <c r="V54" s="35">
        <v>0</v>
      </c>
      <c r="W54" s="42">
        <f t="shared" si="15"/>
        <v>1342959.44</v>
      </c>
      <c r="X54" s="165">
        <v>2015</v>
      </c>
      <c r="Y54" s="165">
        <v>2015</v>
      </c>
      <c r="Z54" s="156"/>
      <c r="AA54" s="156"/>
    </row>
    <row r="55" spans="1:27" s="116" customFormat="1" ht="18" customHeight="1" x14ac:dyDescent="0.25">
      <c r="A55" s="165">
        <f t="shared" si="16"/>
        <v>29</v>
      </c>
      <c r="B55" s="24" t="s">
        <v>471</v>
      </c>
      <c r="C55" s="142" t="s">
        <v>206</v>
      </c>
      <c r="D55" s="165"/>
      <c r="E55" s="45">
        <v>1267</v>
      </c>
      <c r="F55" s="45">
        <v>1232.5</v>
      </c>
      <c r="G55" s="42">
        <f t="shared" ref="G55:G64" si="17">H55+J55+K55+M55+O55+Q55+S55</f>
        <v>2813621.33</v>
      </c>
      <c r="H55" s="35">
        <v>847525</v>
      </c>
      <c r="I55" s="35">
        <f>H55/F55</f>
        <v>687.64705882352939</v>
      </c>
      <c r="J55" s="35">
        <v>0</v>
      </c>
      <c r="K55" s="35">
        <v>1966096.33</v>
      </c>
      <c r="L55" s="35">
        <f>K55/F55</f>
        <v>1595.2100040567952</v>
      </c>
      <c r="M55" s="35">
        <v>0</v>
      </c>
      <c r="N55" s="35"/>
      <c r="O55" s="35">
        <v>0</v>
      </c>
      <c r="P55" s="35"/>
      <c r="Q55" s="35">
        <v>0</v>
      </c>
      <c r="R55" s="35"/>
      <c r="S55" s="35">
        <v>0</v>
      </c>
      <c r="T55" s="35">
        <v>0</v>
      </c>
      <c r="U55" s="35">
        <v>0</v>
      </c>
      <c r="V55" s="35">
        <v>0</v>
      </c>
      <c r="W55" s="42">
        <f t="shared" si="15"/>
        <v>2813621.33</v>
      </c>
      <c r="X55" s="165">
        <v>2015</v>
      </c>
      <c r="Y55" s="165">
        <v>2016</v>
      </c>
      <c r="Z55" s="156">
        <f>Z43+1</f>
        <v>16</v>
      </c>
      <c r="AA55" s="156">
        <v>1</v>
      </c>
    </row>
    <row r="56" spans="1:27" s="118" customFormat="1" ht="18" customHeight="1" x14ac:dyDescent="0.25">
      <c r="A56" s="165">
        <f t="shared" si="16"/>
        <v>30</v>
      </c>
      <c r="B56" s="24" t="s">
        <v>468</v>
      </c>
      <c r="C56" s="142">
        <v>1963</v>
      </c>
      <c r="D56" s="47"/>
      <c r="E56" s="45">
        <v>2711.4</v>
      </c>
      <c r="F56" s="45">
        <v>2513.6</v>
      </c>
      <c r="G56" s="42">
        <f t="shared" si="17"/>
        <v>2004625</v>
      </c>
      <c r="H56" s="35">
        <v>2004625</v>
      </c>
      <c r="I56" s="35">
        <f>H56/F56</f>
        <v>797.51153723742846</v>
      </c>
      <c r="J56" s="35">
        <v>0</v>
      </c>
      <c r="K56" s="35">
        <v>0</v>
      </c>
      <c r="L56" s="35"/>
      <c r="M56" s="35">
        <v>0</v>
      </c>
      <c r="N56" s="35"/>
      <c r="O56" s="35">
        <v>0</v>
      </c>
      <c r="P56" s="35"/>
      <c r="Q56" s="35">
        <v>0</v>
      </c>
      <c r="R56" s="35"/>
      <c r="S56" s="35">
        <v>0</v>
      </c>
      <c r="T56" s="35">
        <v>0</v>
      </c>
      <c r="U56" s="35">
        <v>0</v>
      </c>
      <c r="V56" s="35">
        <v>0</v>
      </c>
      <c r="W56" s="42">
        <f t="shared" si="15"/>
        <v>2004625</v>
      </c>
      <c r="X56" s="165">
        <v>2015</v>
      </c>
      <c r="Y56" s="165">
        <v>2016</v>
      </c>
      <c r="Z56" s="155">
        <f>Z55+1</f>
        <v>17</v>
      </c>
      <c r="AA56" s="155">
        <f>AA55+1</f>
        <v>2</v>
      </c>
    </row>
    <row r="57" spans="1:27" s="116" customFormat="1" ht="18" customHeight="1" x14ac:dyDescent="0.25">
      <c r="A57" s="165">
        <f t="shared" si="16"/>
        <v>31</v>
      </c>
      <c r="B57" s="24" t="s">
        <v>467</v>
      </c>
      <c r="C57" s="142">
        <v>1963</v>
      </c>
      <c r="D57" s="47"/>
      <c r="E57" s="45">
        <v>2015.1</v>
      </c>
      <c r="F57" s="45">
        <v>2002.5</v>
      </c>
      <c r="G57" s="42">
        <f t="shared" si="17"/>
        <v>2055882.5</v>
      </c>
      <c r="H57" s="35">
        <v>2055882.5</v>
      </c>
      <c r="I57" s="35">
        <f>H57/F57</f>
        <v>1026.6579275905119</v>
      </c>
      <c r="J57" s="35">
        <v>0</v>
      </c>
      <c r="K57" s="35">
        <v>0</v>
      </c>
      <c r="L57" s="35"/>
      <c r="M57" s="35">
        <v>0</v>
      </c>
      <c r="N57" s="35"/>
      <c r="O57" s="35">
        <v>0</v>
      </c>
      <c r="P57" s="35"/>
      <c r="Q57" s="35">
        <v>0</v>
      </c>
      <c r="R57" s="35"/>
      <c r="S57" s="35">
        <v>0</v>
      </c>
      <c r="T57" s="35">
        <v>0</v>
      </c>
      <c r="U57" s="35">
        <v>0</v>
      </c>
      <c r="V57" s="35">
        <v>0</v>
      </c>
      <c r="W57" s="42">
        <f t="shared" si="15"/>
        <v>2055882.5</v>
      </c>
      <c r="X57" s="165">
        <v>2015</v>
      </c>
      <c r="Y57" s="165">
        <v>2016</v>
      </c>
      <c r="Z57" s="155">
        <f t="shared" ref="Z57:Z64" si="18">Z56+1</f>
        <v>18</v>
      </c>
      <c r="AA57" s="155">
        <f t="shared" ref="AA57:AA64" si="19">AA56+1</f>
        <v>3</v>
      </c>
    </row>
    <row r="58" spans="1:27" s="118" customFormat="1" ht="18" customHeight="1" x14ac:dyDescent="0.25">
      <c r="A58" s="165">
        <f t="shared" si="16"/>
        <v>32</v>
      </c>
      <c r="B58" s="24" t="s">
        <v>469</v>
      </c>
      <c r="C58" s="142">
        <v>1962</v>
      </c>
      <c r="D58" s="47"/>
      <c r="E58" s="45">
        <f>1443.9+105</f>
        <v>1548.9</v>
      </c>
      <c r="F58" s="45">
        <v>1443.9</v>
      </c>
      <c r="G58" s="42">
        <f t="shared" si="17"/>
        <v>2537500</v>
      </c>
      <c r="H58" s="35">
        <v>0</v>
      </c>
      <c r="I58" s="35">
        <f>H58/F58</f>
        <v>0</v>
      </c>
      <c r="J58" s="35">
        <v>0</v>
      </c>
      <c r="K58" s="35">
        <v>1580557.87</v>
      </c>
      <c r="L58" s="35">
        <f>K58/F58</f>
        <v>1094.6449684881225</v>
      </c>
      <c r="M58" s="35">
        <v>0</v>
      </c>
      <c r="N58" s="35"/>
      <c r="O58" s="35">
        <v>956942.13</v>
      </c>
      <c r="P58" s="35">
        <f>O58/F58</f>
        <v>662.74820278412631</v>
      </c>
      <c r="Q58" s="35">
        <v>0</v>
      </c>
      <c r="R58" s="35"/>
      <c r="S58" s="35">
        <v>0</v>
      </c>
      <c r="T58" s="35">
        <v>0</v>
      </c>
      <c r="U58" s="35">
        <v>0</v>
      </c>
      <c r="V58" s="35">
        <v>0</v>
      </c>
      <c r="W58" s="42">
        <f t="shared" si="15"/>
        <v>2537500</v>
      </c>
      <c r="X58" s="165">
        <v>2015</v>
      </c>
      <c r="Y58" s="165">
        <v>2016</v>
      </c>
      <c r="Z58" s="155">
        <f t="shared" si="18"/>
        <v>19</v>
      </c>
      <c r="AA58" s="155">
        <f t="shared" si="19"/>
        <v>4</v>
      </c>
    </row>
    <row r="59" spans="1:27" s="116" customFormat="1" ht="18" customHeight="1" x14ac:dyDescent="0.25">
      <c r="A59" s="165">
        <f t="shared" si="16"/>
        <v>33</v>
      </c>
      <c r="B59" s="24" t="s">
        <v>462</v>
      </c>
      <c r="C59" s="142" t="s">
        <v>180</v>
      </c>
      <c r="D59" s="165"/>
      <c r="E59" s="45">
        <v>422.5</v>
      </c>
      <c r="F59" s="45">
        <v>380.7</v>
      </c>
      <c r="G59" s="42">
        <f t="shared" si="17"/>
        <v>607296.44999999995</v>
      </c>
      <c r="H59" s="35"/>
      <c r="I59" s="35"/>
      <c r="J59" s="35">
        <v>0</v>
      </c>
      <c r="K59" s="35">
        <v>607296.44999999995</v>
      </c>
      <c r="L59" s="35">
        <f>K59/F59</f>
        <v>1595.2100078802205</v>
      </c>
      <c r="M59" s="35">
        <v>0</v>
      </c>
      <c r="N59" s="35"/>
      <c r="O59" s="35">
        <v>0</v>
      </c>
      <c r="P59" s="35"/>
      <c r="Q59" s="35">
        <v>0</v>
      </c>
      <c r="R59" s="35"/>
      <c r="S59" s="35">
        <v>0</v>
      </c>
      <c r="T59" s="35">
        <v>0</v>
      </c>
      <c r="U59" s="35">
        <v>0</v>
      </c>
      <c r="V59" s="35">
        <v>0</v>
      </c>
      <c r="W59" s="42">
        <f t="shared" si="15"/>
        <v>607296.44999999995</v>
      </c>
      <c r="X59" s="165">
        <v>2016</v>
      </c>
      <c r="Y59" s="165">
        <v>2016</v>
      </c>
      <c r="Z59" s="155">
        <f t="shared" si="18"/>
        <v>20</v>
      </c>
      <c r="AA59" s="155">
        <f t="shared" si="19"/>
        <v>5</v>
      </c>
    </row>
    <row r="60" spans="1:27" s="116" customFormat="1" ht="18" customHeight="1" x14ac:dyDescent="0.25">
      <c r="A60" s="165">
        <f t="shared" si="16"/>
        <v>34</v>
      </c>
      <c r="B60" s="24" t="s">
        <v>464</v>
      </c>
      <c r="C60" s="142" t="s">
        <v>20</v>
      </c>
      <c r="D60" s="165"/>
      <c r="E60" s="45">
        <v>428.7</v>
      </c>
      <c r="F60" s="45">
        <v>387.3</v>
      </c>
      <c r="G60" s="42">
        <f t="shared" si="17"/>
        <v>959462.15999999992</v>
      </c>
      <c r="H60" s="35"/>
      <c r="I60" s="35"/>
      <c r="J60" s="35">
        <v>0</v>
      </c>
      <c r="K60" s="35">
        <v>617824.82999999996</v>
      </c>
      <c r="L60" s="35">
        <f>K60/F60</f>
        <v>1595.2099922540665</v>
      </c>
      <c r="M60" s="35">
        <v>0</v>
      </c>
      <c r="N60" s="35"/>
      <c r="O60" s="35">
        <v>341637.33</v>
      </c>
      <c r="P60" s="35">
        <f>O60/F60</f>
        <v>882.1</v>
      </c>
      <c r="Q60" s="35">
        <v>0</v>
      </c>
      <c r="R60" s="35"/>
      <c r="S60" s="35">
        <v>0</v>
      </c>
      <c r="T60" s="35">
        <v>0</v>
      </c>
      <c r="U60" s="35">
        <v>0</v>
      </c>
      <c r="V60" s="35">
        <v>0</v>
      </c>
      <c r="W60" s="42">
        <f t="shared" si="15"/>
        <v>959462.15999999992</v>
      </c>
      <c r="X60" s="165">
        <v>2016</v>
      </c>
      <c r="Y60" s="165">
        <v>2016</v>
      </c>
      <c r="Z60" s="155">
        <f t="shared" si="18"/>
        <v>21</v>
      </c>
      <c r="AA60" s="155">
        <f t="shared" si="19"/>
        <v>6</v>
      </c>
    </row>
    <row r="61" spans="1:27" s="116" customFormat="1" ht="18" customHeight="1" x14ac:dyDescent="0.25">
      <c r="A61" s="165">
        <f t="shared" si="16"/>
        <v>35</v>
      </c>
      <c r="B61" s="24" t="s">
        <v>465</v>
      </c>
      <c r="C61" s="142" t="s">
        <v>20</v>
      </c>
      <c r="D61" s="165"/>
      <c r="E61" s="45">
        <v>1432.1</v>
      </c>
      <c r="F61" s="45">
        <v>1298.3</v>
      </c>
      <c r="G61" s="42">
        <f t="shared" si="17"/>
        <v>2071061.14</v>
      </c>
      <c r="H61" s="35"/>
      <c r="I61" s="35"/>
      <c r="J61" s="35">
        <v>0</v>
      </c>
      <c r="K61" s="35">
        <v>2071061.14</v>
      </c>
      <c r="L61" s="35">
        <f>K61/F61</f>
        <v>1595.209997689286</v>
      </c>
      <c r="M61" s="35">
        <v>0</v>
      </c>
      <c r="N61" s="35"/>
      <c r="O61" s="35">
        <v>0</v>
      </c>
      <c r="P61" s="35"/>
      <c r="Q61" s="35">
        <v>0</v>
      </c>
      <c r="R61" s="35"/>
      <c r="S61" s="35">
        <v>0</v>
      </c>
      <c r="T61" s="35">
        <v>0</v>
      </c>
      <c r="U61" s="35">
        <v>0</v>
      </c>
      <c r="V61" s="35">
        <v>0</v>
      </c>
      <c r="W61" s="42">
        <f t="shared" si="15"/>
        <v>2071061.14</v>
      </c>
      <c r="X61" s="165">
        <v>2016</v>
      </c>
      <c r="Y61" s="165">
        <v>2016</v>
      </c>
      <c r="Z61" s="155">
        <f t="shared" si="18"/>
        <v>22</v>
      </c>
      <c r="AA61" s="155">
        <f t="shared" si="19"/>
        <v>7</v>
      </c>
    </row>
    <row r="62" spans="1:27" s="116" customFormat="1" ht="18" customHeight="1" x14ac:dyDescent="0.25">
      <c r="A62" s="165">
        <f t="shared" si="16"/>
        <v>36</v>
      </c>
      <c r="B62" s="24" t="s">
        <v>466</v>
      </c>
      <c r="C62" s="142">
        <v>1958</v>
      </c>
      <c r="D62" s="47"/>
      <c r="E62" s="45">
        <v>1535.2</v>
      </c>
      <c r="F62" s="45">
        <v>1365.2</v>
      </c>
      <c r="G62" s="42">
        <f t="shared" si="17"/>
        <v>1395625</v>
      </c>
      <c r="H62" s="35">
        <v>1395625</v>
      </c>
      <c r="I62" s="35">
        <f>H62/F62</f>
        <v>1022.2861119249926</v>
      </c>
      <c r="J62" s="35">
        <v>0</v>
      </c>
      <c r="K62" s="35">
        <v>0</v>
      </c>
      <c r="L62" s="35"/>
      <c r="M62" s="35">
        <v>0</v>
      </c>
      <c r="N62" s="35"/>
      <c r="O62" s="35">
        <v>0</v>
      </c>
      <c r="P62" s="35"/>
      <c r="Q62" s="35">
        <v>0</v>
      </c>
      <c r="R62" s="35"/>
      <c r="S62" s="35">
        <v>0</v>
      </c>
      <c r="T62" s="35">
        <v>0</v>
      </c>
      <c r="U62" s="35">
        <v>0</v>
      </c>
      <c r="V62" s="35">
        <v>0</v>
      </c>
      <c r="W62" s="42">
        <f t="shared" si="15"/>
        <v>1395625</v>
      </c>
      <c r="X62" s="165">
        <v>2015</v>
      </c>
      <c r="Y62" s="165">
        <v>2016</v>
      </c>
      <c r="Z62" s="155">
        <f t="shared" si="18"/>
        <v>23</v>
      </c>
      <c r="AA62" s="155">
        <f t="shared" si="19"/>
        <v>8</v>
      </c>
    </row>
    <row r="63" spans="1:27" s="116" customFormat="1" ht="18" customHeight="1" x14ac:dyDescent="0.25">
      <c r="A63" s="165">
        <f t="shared" si="16"/>
        <v>37</v>
      </c>
      <c r="B63" s="24" t="s">
        <v>472</v>
      </c>
      <c r="C63" s="142" t="s">
        <v>20</v>
      </c>
      <c r="D63" s="165"/>
      <c r="E63" s="45">
        <v>1568</v>
      </c>
      <c r="F63" s="45">
        <v>1344.4</v>
      </c>
      <c r="G63" s="42">
        <f t="shared" si="17"/>
        <v>1095860.74</v>
      </c>
      <c r="H63" s="35">
        <v>1095860.74</v>
      </c>
      <c r="I63" s="35">
        <f>H63/F63</f>
        <v>815.12997619756015</v>
      </c>
      <c r="J63" s="35">
        <v>0</v>
      </c>
      <c r="K63" s="35">
        <v>0</v>
      </c>
      <c r="L63" s="35"/>
      <c r="M63" s="35">
        <v>0</v>
      </c>
      <c r="N63" s="35"/>
      <c r="O63" s="35">
        <v>0</v>
      </c>
      <c r="P63" s="35"/>
      <c r="Q63" s="35">
        <v>0</v>
      </c>
      <c r="R63" s="35"/>
      <c r="S63" s="35">
        <v>0</v>
      </c>
      <c r="T63" s="35">
        <v>0</v>
      </c>
      <c r="U63" s="35">
        <v>0</v>
      </c>
      <c r="V63" s="35">
        <v>0</v>
      </c>
      <c r="W63" s="42">
        <f t="shared" si="15"/>
        <v>1095860.74</v>
      </c>
      <c r="X63" s="165">
        <v>2016</v>
      </c>
      <c r="Y63" s="165">
        <v>2016</v>
      </c>
      <c r="Z63" s="155">
        <f t="shared" si="18"/>
        <v>24</v>
      </c>
      <c r="AA63" s="155">
        <f t="shared" si="19"/>
        <v>9</v>
      </c>
    </row>
    <row r="64" spans="1:27" s="116" customFormat="1" ht="18" customHeight="1" x14ac:dyDescent="0.25">
      <c r="A64" s="165">
        <f t="shared" si="16"/>
        <v>38</v>
      </c>
      <c r="B64" s="24" t="s">
        <v>470</v>
      </c>
      <c r="C64" s="142">
        <v>1957</v>
      </c>
      <c r="D64" s="47"/>
      <c r="E64" s="45">
        <v>798.4</v>
      </c>
      <c r="F64" s="45">
        <v>731.3</v>
      </c>
      <c r="G64" s="42">
        <f t="shared" si="17"/>
        <v>649600</v>
      </c>
      <c r="H64" s="35">
        <v>649600</v>
      </c>
      <c r="I64" s="35">
        <f>H64/F64</f>
        <v>888.28114316969788</v>
      </c>
      <c r="J64" s="35">
        <v>0</v>
      </c>
      <c r="K64" s="35">
        <v>0</v>
      </c>
      <c r="L64" s="35">
        <f>K64/F64</f>
        <v>0</v>
      </c>
      <c r="M64" s="35">
        <v>0</v>
      </c>
      <c r="N64" s="35"/>
      <c r="O64" s="35">
        <v>0</v>
      </c>
      <c r="P64" s="35"/>
      <c r="Q64" s="35">
        <v>0</v>
      </c>
      <c r="R64" s="35"/>
      <c r="S64" s="35">
        <v>0</v>
      </c>
      <c r="T64" s="35">
        <v>0</v>
      </c>
      <c r="U64" s="35">
        <v>0</v>
      </c>
      <c r="V64" s="35">
        <v>0</v>
      </c>
      <c r="W64" s="42">
        <f t="shared" si="15"/>
        <v>649600</v>
      </c>
      <c r="X64" s="165">
        <v>2015</v>
      </c>
      <c r="Y64" s="165">
        <v>2016</v>
      </c>
      <c r="Z64" s="155">
        <f t="shared" si="18"/>
        <v>25</v>
      </c>
      <c r="AA64" s="155">
        <f t="shared" si="19"/>
        <v>10</v>
      </c>
    </row>
    <row r="65" spans="1:29" s="116" customFormat="1" ht="19.5" customHeight="1" x14ac:dyDescent="0.25">
      <c r="A65" s="183" t="s">
        <v>173</v>
      </c>
      <c r="B65" s="183"/>
      <c r="C65" s="143"/>
      <c r="D65" s="25"/>
      <c r="E65" s="29">
        <v>0</v>
      </c>
      <c r="F65" s="29">
        <v>0</v>
      </c>
      <c r="G65" s="19">
        <v>0</v>
      </c>
      <c r="H65" s="28">
        <v>0</v>
      </c>
      <c r="I65" s="28"/>
      <c r="J65" s="28">
        <v>0</v>
      </c>
      <c r="K65" s="28">
        <v>0</v>
      </c>
      <c r="L65" s="28"/>
      <c r="M65" s="28">
        <v>0</v>
      </c>
      <c r="N65" s="28"/>
      <c r="O65" s="28">
        <v>0</v>
      </c>
      <c r="P65" s="28"/>
      <c r="Q65" s="28">
        <v>0</v>
      </c>
      <c r="R65" s="28"/>
      <c r="S65" s="28">
        <v>0</v>
      </c>
      <c r="T65" s="28">
        <v>0</v>
      </c>
      <c r="U65" s="28">
        <v>0</v>
      </c>
      <c r="V65" s="28">
        <v>0</v>
      </c>
      <c r="W65" s="19">
        <v>0</v>
      </c>
      <c r="X65" s="20" t="s">
        <v>368</v>
      </c>
      <c r="Y65" s="20" t="s">
        <v>368</v>
      </c>
      <c r="Z65" s="156"/>
      <c r="AA65" s="156"/>
    </row>
    <row r="66" spans="1:29" s="116" customFormat="1" ht="19.5" customHeight="1" x14ac:dyDescent="0.25">
      <c r="A66" s="183" t="s">
        <v>171</v>
      </c>
      <c r="B66" s="183"/>
      <c r="C66" s="144"/>
      <c r="D66" s="167"/>
      <c r="E66" s="29">
        <f>SUM(E48:E54)</f>
        <v>6624.4</v>
      </c>
      <c r="F66" s="29">
        <f>SUM(F48:F54)</f>
        <v>5943.9000000000005</v>
      </c>
      <c r="G66" s="19">
        <f>SUM(G48:G54)</f>
        <v>5661929.7999999989</v>
      </c>
      <c r="H66" s="28">
        <f>SUM(H48:H54)</f>
        <v>5661929.7999999989</v>
      </c>
      <c r="I66" s="28"/>
      <c r="J66" s="28">
        <f>SUM(J48:J54)</f>
        <v>0</v>
      </c>
      <c r="K66" s="28">
        <f>SUM(K48:K54)</f>
        <v>0</v>
      </c>
      <c r="L66" s="28"/>
      <c r="M66" s="28">
        <f>SUM(M48:M54)</f>
        <v>0</v>
      </c>
      <c r="N66" s="28"/>
      <c r="O66" s="28">
        <f>SUM(O48:O54)</f>
        <v>0</v>
      </c>
      <c r="P66" s="28"/>
      <c r="Q66" s="28">
        <f>SUM(Q48:Q54)</f>
        <v>0</v>
      </c>
      <c r="R66" s="28"/>
      <c r="S66" s="28">
        <f>SUM(S48:S54)</f>
        <v>0</v>
      </c>
      <c r="T66" s="28">
        <f>SUM(T48:T54)</f>
        <v>0</v>
      </c>
      <c r="U66" s="28">
        <f>SUM(U48:U54)</f>
        <v>0</v>
      </c>
      <c r="V66" s="28">
        <f>SUM(V48:V54)</f>
        <v>0</v>
      </c>
      <c r="W66" s="19">
        <f>SUM(W48:W54)</f>
        <v>5661929.7999999989</v>
      </c>
      <c r="X66" s="20" t="s">
        <v>368</v>
      </c>
      <c r="Y66" s="20" t="s">
        <v>368</v>
      </c>
      <c r="Z66" s="156"/>
      <c r="AA66" s="156"/>
    </row>
    <row r="67" spans="1:29" s="116" customFormat="1" ht="19.5" customHeight="1" x14ac:dyDescent="0.25">
      <c r="A67" s="183" t="s">
        <v>172</v>
      </c>
      <c r="B67" s="183"/>
      <c r="C67" s="144"/>
      <c r="D67" s="167"/>
      <c r="E67" s="29">
        <f>SUM(E55:E64)</f>
        <v>13727.300000000001</v>
      </c>
      <c r="F67" s="29">
        <f>SUM(F55:F64)</f>
        <v>12699.699999999999</v>
      </c>
      <c r="G67" s="19">
        <f>SUM(G55:G64)</f>
        <v>16190534.32</v>
      </c>
      <c r="H67" s="28">
        <f>SUM(H55:H64)</f>
        <v>8049118.2400000002</v>
      </c>
      <c r="I67" s="28"/>
      <c r="J67" s="28">
        <f>SUM(J55:J64)</f>
        <v>0</v>
      </c>
      <c r="K67" s="28">
        <f>SUM(K55:K64)</f>
        <v>6842836.6200000001</v>
      </c>
      <c r="L67" s="28"/>
      <c r="M67" s="28">
        <f>SUM(M55:M64)</f>
        <v>0</v>
      </c>
      <c r="N67" s="28"/>
      <c r="O67" s="28">
        <f>SUM(O55:O64)</f>
        <v>1298579.46</v>
      </c>
      <c r="P67" s="28"/>
      <c r="Q67" s="28">
        <f>SUM(Q55:Q64)</f>
        <v>0</v>
      </c>
      <c r="R67" s="28"/>
      <c r="S67" s="28">
        <f>SUM(S55:S64)</f>
        <v>0</v>
      </c>
      <c r="T67" s="28">
        <f>SUM(T55:T64)</f>
        <v>0</v>
      </c>
      <c r="U67" s="28">
        <f>SUM(U55:U64)</f>
        <v>0</v>
      </c>
      <c r="V67" s="28">
        <f>SUM(V55:V64)</f>
        <v>0</v>
      </c>
      <c r="W67" s="19">
        <f>SUM(W55:W64)</f>
        <v>16190534.32</v>
      </c>
      <c r="X67" s="20" t="s">
        <v>368</v>
      </c>
      <c r="Y67" s="20" t="s">
        <v>368</v>
      </c>
      <c r="Z67" s="156"/>
      <c r="AA67" s="156"/>
      <c r="AB67" s="157">
        <f>T67+V67+W67</f>
        <v>16190534.32</v>
      </c>
    </row>
    <row r="68" spans="1:29" s="116" customFormat="1" ht="18" customHeight="1" x14ac:dyDescent="0.25">
      <c r="A68" s="182" t="s">
        <v>98</v>
      </c>
      <c r="B68" s="182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2"/>
      <c r="R68" s="182"/>
      <c r="S68" s="182"/>
      <c r="T68" s="182"/>
      <c r="U68" s="182"/>
      <c r="V68" s="182"/>
      <c r="W68" s="182"/>
      <c r="X68" s="119"/>
      <c r="Y68" s="119"/>
      <c r="Z68" s="156"/>
      <c r="AA68" s="156"/>
    </row>
    <row r="69" spans="1:29" s="118" customFormat="1" ht="18" customHeight="1" x14ac:dyDescent="0.3">
      <c r="A69" s="165">
        <f>A64+1</f>
        <v>39</v>
      </c>
      <c r="B69" s="39" t="s">
        <v>27</v>
      </c>
      <c r="C69" s="143">
        <v>1946</v>
      </c>
      <c r="D69" s="165"/>
      <c r="E69" s="40">
        <v>1034.9000000000001</v>
      </c>
      <c r="F69" s="41">
        <v>936.1</v>
      </c>
      <c r="G69" s="42">
        <f t="shared" ref="G69:G74" si="20">SUM(H69:S69)</f>
        <v>3000000</v>
      </c>
      <c r="H69" s="43">
        <v>3000000</v>
      </c>
      <c r="I69" s="43"/>
      <c r="J69" s="35">
        <v>0</v>
      </c>
      <c r="K69" s="35">
        <v>0</v>
      </c>
      <c r="L69" s="35"/>
      <c r="M69" s="35">
        <v>0</v>
      </c>
      <c r="N69" s="35"/>
      <c r="O69" s="35">
        <v>0</v>
      </c>
      <c r="P69" s="35"/>
      <c r="Q69" s="35">
        <v>0</v>
      </c>
      <c r="R69" s="35"/>
      <c r="S69" s="35">
        <v>0</v>
      </c>
      <c r="T69" s="120">
        <f>1351752-9552.02</f>
        <v>1342199.98</v>
      </c>
      <c r="U69" s="35">
        <v>0</v>
      </c>
      <c r="V69" s="35">
        <f>G69-T69</f>
        <v>1657800.02</v>
      </c>
      <c r="W69" s="42">
        <v>0</v>
      </c>
      <c r="X69" s="165">
        <v>2014</v>
      </c>
      <c r="Y69" s="165">
        <v>2015</v>
      </c>
      <c r="Z69" s="155"/>
      <c r="AA69" s="155"/>
    </row>
    <row r="70" spans="1:29" s="118" customFormat="1" ht="18" customHeight="1" x14ac:dyDescent="0.3">
      <c r="A70" s="165">
        <f t="shared" ref="A70:A82" si="21">A69+1</f>
        <v>40</v>
      </c>
      <c r="B70" s="39" t="s">
        <v>28</v>
      </c>
      <c r="C70" s="143">
        <v>1946</v>
      </c>
      <c r="D70" s="165"/>
      <c r="E70" s="41">
        <v>1031.2</v>
      </c>
      <c r="F70" s="41">
        <v>932.9</v>
      </c>
      <c r="G70" s="42">
        <f t="shared" si="20"/>
        <v>1350000</v>
      </c>
      <c r="H70" s="43">
        <v>1350000</v>
      </c>
      <c r="I70" s="43"/>
      <c r="J70" s="35">
        <v>0</v>
      </c>
      <c r="K70" s="35">
        <v>0</v>
      </c>
      <c r="L70" s="35"/>
      <c r="M70" s="35">
        <v>0</v>
      </c>
      <c r="N70" s="35"/>
      <c r="O70" s="35">
        <v>0</v>
      </c>
      <c r="P70" s="35"/>
      <c r="Q70" s="35">
        <v>0</v>
      </c>
      <c r="R70" s="35"/>
      <c r="S70" s="35">
        <v>0</v>
      </c>
      <c r="T70" s="120">
        <f>610626-6636.44</f>
        <v>603989.56000000006</v>
      </c>
      <c r="U70" s="35">
        <v>0</v>
      </c>
      <c r="V70" s="35">
        <f>G70-T70</f>
        <v>746010.44</v>
      </c>
      <c r="W70" s="42">
        <v>0</v>
      </c>
      <c r="X70" s="165">
        <v>2014</v>
      </c>
      <c r="Y70" s="165">
        <v>2015</v>
      </c>
      <c r="Z70" s="155"/>
      <c r="AA70" s="155"/>
    </row>
    <row r="71" spans="1:29" s="118" customFormat="1" ht="18" customHeight="1" x14ac:dyDescent="0.25">
      <c r="A71" s="165">
        <f t="shared" si="21"/>
        <v>41</v>
      </c>
      <c r="B71" s="39" t="s">
        <v>72</v>
      </c>
      <c r="C71" s="143">
        <v>1958</v>
      </c>
      <c r="D71" s="165"/>
      <c r="E71" s="41">
        <v>4784</v>
      </c>
      <c r="F71" s="41">
        <v>3693.3</v>
      </c>
      <c r="G71" s="42">
        <f t="shared" si="20"/>
        <v>8572867.6699999999</v>
      </c>
      <c r="H71" s="120">
        <v>4104499.61</v>
      </c>
      <c r="I71" s="120"/>
      <c r="J71" s="35">
        <v>0</v>
      </c>
      <c r="K71" s="35">
        <v>4468368.0599999996</v>
      </c>
      <c r="L71" s="35"/>
      <c r="M71" s="35">
        <v>0</v>
      </c>
      <c r="N71" s="35"/>
      <c r="O71" s="35">
        <v>0</v>
      </c>
      <c r="P71" s="35"/>
      <c r="Q71" s="35">
        <v>0</v>
      </c>
      <c r="R71" s="35"/>
      <c r="S71" s="35">
        <v>0</v>
      </c>
      <c r="T71" s="34">
        <f>ROUND(G71*0.447,2)</f>
        <v>3832071.85</v>
      </c>
      <c r="U71" s="35">
        <v>0</v>
      </c>
      <c r="V71" s="35">
        <f>G71-T71</f>
        <v>4740795.82</v>
      </c>
      <c r="W71" s="42">
        <v>0</v>
      </c>
      <c r="X71" s="165">
        <v>2014</v>
      </c>
      <c r="Y71" s="165">
        <v>2015</v>
      </c>
      <c r="Z71" s="155"/>
      <c r="AA71" s="155"/>
    </row>
    <row r="72" spans="1:29" s="118" customFormat="1" ht="18" customHeight="1" x14ac:dyDescent="0.25">
      <c r="A72" s="165">
        <f t="shared" si="21"/>
        <v>42</v>
      </c>
      <c r="B72" s="39" t="s">
        <v>71</v>
      </c>
      <c r="C72" s="143">
        <v>1958</v>
      </c>
      <c r="D72" s="165"/>
      <c r="E72" s="41">
        <v>4629.1000000000004</v>
      </c>
      <c r="F72" s="41">
        <v>2778.9</v>
      </c>
      <c r="G72" s="42">
        <f t="shared" si="20"/>
        <v>6241800</v>
      </c>
      <c r="H72" s="34">
        <v>6241800</v>
      </c>
      <c r="I72" s="34"/>
      <c r="J72" s="35">
        <v>0</v>
      </c>
      <c r="K72" s="35">
        <v>0</v>
      </c>
      <c r="L72" s="35"/>
      <c r="M72" s="35">
        <v>0</v>
      </c>
      <c r="N72" s="35"/>
      <c r="O72" s="35">
        <v>0</v>
      </c>
      <c r="P72" s="35"/>
      <c r="Q72" s="35">
        <v>0</v>
      </c>
      <c r="R72" s="35"/>
      <c r="S72" s="35">
        <v>0</v>
      </c>
      <c r="T72" s="34">
        <v>2790084.59</v>
      </c>
      <c r="U72" s="35">
        <v>0</v>
      </c>
      <c r="V72" s="35">
        <f>G72-T72</f>
        <v>3451715.41</v>
      </c>
      <c r="W72" s="42">
        <v>0</v>
      </c>
      <c r="X72" s="165">
        <v>2014</v>
      </c>
      <c r="Y72" s="165">
        <v>2015</v>
      </c>
      <c r="Z72" s="155"/>
      <c r="AA72" s="155"/>
    </row>
    <row r="73" spans="1:29" s="118" customFormat="1" ht="18" customHeight="1" x14ac:dyDescent="0.25">
      <c r="A73" s="165">
        <f t="shared" si="21"/>
        <v>43</v>
      </c>
      <c r="B73" s="24" t="s">
        <v>134</v>
      </c>
      <c r="C73" s="142">
        <v>1952</v>
      </c>
      <c r="D73" s="47"/>
      <c r="E73" s="121">
        <v>4006</v>
      </c>
      <c r="F73" s="41">
        <v>3347.1</v>
      </c>
      <c r="G73" s="42">
        <f t="shared" si="20"/>
        <v>894997.75</v>
      </c>
      <c r="H73" s="35">
        <v>894997.75</v>
      </c>
      <c r="I73" s="35"/>
      <c r="J73" s="35">
        <v>0</v>
      </c>
      <c r="K73" s="35">
        <v>0</v>
      </c>
      <c r="L73" s="35"/>
      <c r="M73" s="35">
        <v>0</v>
      </c>
      <c r="N73" s="35"/>
      <c r="O73" s="35">
        <v>0</v>
      </c>
      <c r="P73" s="35"/>
      <c r="Q73" s="35">
        <v>0</v>
      </c>
      <c r="R73" s="35"/>
      <c r="S73" s="35">
        <v>0</v>
      </c>
      <c r="T73" s="35">
        <v>0</v>
      </c>
      <c r="U73" s="35">
        <v>0</v>
      </c>
      <c r="V73" s="35">
        <v>0</v>
      </c>
      <c r="W73" s="42">
        <f t="shared" ref="W73:W75" si="22">G73</f>
        <v>894997.75</v>
      </c>
      <c r="X73" s="165">
        <v>2015</v>
      </c>
      <c r="Y73" s="165">
        <v>2015</v>
      </c>
      <c r="Z73" s="155"/>
      <c r="AA73" s="155"/>
    </row>
    <row r="74" spans="1:29" s="118" customFormat="1" ht="18" customHeight="1" x14ac:dyDescent="0.25">
      <c r="A74" s="165">
        <f t="shared" si="21"/>
        <v>44</v>
      </c>
      <c r="B74" s="24" t="s">
        <v>135</v>
      </c>
      <c r="C74" s="142">
        <v>1957</v>
      </c>
      <c r="D74" s="47"/>
      <c r="E74" s="121">
        <v>4863.8</v>
      </c>
      <c r="F74" s="41">
        <v>4426.3999999999996</v>
      </c>
      <c r="G74" s="42">
        <f t="shared" si="20"/>
        <v>3148631.5</v>
      </c>
      <c r="H74" s="35">
        <v>0</v>
      </c>
      <c r="I74" s="35"/>
      <c r="J74" s="35">
        <v>0</v>
      </c>
      <c r="K74" s="35">
        <v>3148631.5</v>
      </c>
      <c r="L74" s="35"/>
      <c r="M74" s="35">
        <v>0</v>
      </c>
      <c r="N74" s="35"/>
      <c r="O74" s="35">
        <v>0</v>
      </c>
      <c r="P74" s="35"/>
      <c r="Q74" s="35">
        <v>0</v>
      </c>
      <c r="R74" s="35"/>
      <c r="S74" s="35">
        <v>0</v>
      </c>
      <c r="T74" s="35">
        <v>0</v>
      </c>
      <c r="U74" s="35">
        <v>0</v>
      </c>
      <c r="V74" s="35">
        <v>0</v>
      </c>
      <c r="W74" s="42">
        <f t="shared" si="22"/>
        <v>3148631.5</v>
      </c>
      <c r="X74" s="165">
        <v>2015</v>
      </c>
      <c r="Y74" s="165">
        <v>2015</v>
      </c>
      <c r="Z74" s="155"/>
      <c r="AA74" s="155"/>
    </row>
    <row r="75" spans="1:29" s="118" customFormat="1" ht="18" customHeight="1" x14ac:dyDescent="0.25">
      <c r="A75" s="165">
        <f t="shared" si="21"/>
        <v>45</v>
      </c>
      <c r="B75" s="24" t="s">
        <v>301</v>
      </c>
      <c r="C75" s="142">
        <v>1961</v>
      </c>
      <c r="D75" s="165"/>
      <c r="E75" s="45">
        <v>2066.6</v>
      </c>
      <c r="F75" s="45">
        <v>1615.7</v>
      </c>
      <c r="G75" s="42">
        <f t="shared" ref="G75" si="23">H75+J75+K75+M75+O75+Q75+S75</f>
        <v>519366.77</v>
      </c>
      <c r="H75" s="35">
        <v>519366.77</v>
      </c>
      <c r="I75" s="35">
        <f>H75/F75</f>
        <v>321.45000309463393</v>
      </c>
      <c r="J75" s="35">
        <v>0</v>
      </c>
      <c r="K75" s="35">
        <v>0</v>
      </c>
      <c r="L75" s="35"/>
      <c r="M75" s="35">
        <v>0</v>
      </c>
      <c r="N75" s="35"/>
      <c r="O75" s="35">
        <v>0</v>
      </c>
      <c r="P75" s="35"/>
      <c r="Q75" s="35">
        <v>0</v>
      </c>
      <c r="R75" s="35"/>
      <c r="S75" s="35">
        <v>0</v>
      </c>
      <c r="T75" s="35">
        <v>0</v>
      </c>
      <c r="U75" s="35">
        <v>0</v>
      </c>
      <c r="V75" s="35">
        <v>0</v>
      </c>
      <c r="W75" s="42">
        <f t="shared" si="22"/>
        <v>519366.77</v>
      </c>
      <c r="X75" s="165">
        <v>2016</v>
      </c>
      <c r="Y75" s="165">
        <v>2016</v>
      </c>
      <c r="Z75" s="155">
        <f>Z64+1</f>
        <v>26</v>
      </c>
      <c r="AA75" s="155">
        <v>1</v>
      </c>
    </row>
    <row r="76" spans="1:29" s="118" customFormat="1" ht="18" customHeight="1" x14ac:dyDescent="0.25">
      <c r="A76" s="165">
        <f t="shared" si="21"/>
        <v>46</v>
      </c>
      <c r="B76" s="24" t="s">
        <v>136</v>
      </c>
      <c r="C76" s="142">
        <v>1968</v>
      </c>
      <c r="D76" s="47"/>
      <c r="E76" s="121">
        <v>5328.8</v>
      </c>
      <c r="F76" s="41">
        <v>4687.2</v>
      </c>
      <c r="G76" s="42">
        <f>SUM(H76:S76)</f>
        <v>9895235.7699999996</v>
      </c>
      <c r="H76" s="35">
        <v>4058985</v>
      </c>
      <c r="I76" s="35"/>
      <c r="J76" s="35">
        <v>0</v>
      </c>
      <c r="K76" s="35">
        <v>5836250.7699999996</v>
      </c>
      <c r="L76" s="35"/>
      <c r="M76" s="35">
        <v>0</v>
      </c>
      <c r="N76" s="35"/>
      <c r="O76" s="35">
        <v>0</v>
      </c>
      <c r="P76" s="35"/>
      <c r="Q76" s="35">
        <v>0</v>
      </c>
      <c r="R76" s="35"/>
      <c r="S76" s="35">
        <v>0</v>
      </c>
      <c r="T76" s="35">
        <v>1473032.52</v>
      </c>
      <c r="U76" s="35">
        <v>0</v>
      </c>
      <c r="V76" s="35">
        <v>2585952.48</v>
      </c>
      <c r="W76" s="42">
        <f>5984978.3-148727.53</f>
        <v>5836250.7699999996</v>
      </c>
      <c r="X76" s="165">
        <v>2015</v>
      </c>
      <c r="Y76" s="165">
        <v>2016</v>
      </c>
      <c r="Z76" s="155">
        <f>Z75+1</f>
        <v>27</v>
      </c>
      <c r="AA76" s="155">
        <f>AA75+1</f>
        <v>2</v>
      </c>
      <c r="AB76" s="159">
        <f>T76+V76+W76</f>
        <v>9895235.7699999996</v>
      </c>
    </row>
    <row r="77" spans="1:29" s="118" customFormat="1" ht="18" customHeight="1" x14ac:dyDescent="0.25">
      <c r="A77" s="165">
        <f t="shared" si="21"/>
        <v>47</v>
      </c>
      <c r="B77" s="24" t="s">
        <v>137</v>
      </c>
      <c r="C77" s="142">
        <v>1957</v>
      </c>
      <c r="D77" s="47"/>
      <c r="E77" s="154">
        <v>855.89</v>
      </c>
      <c r="F77" s="154">
        <v>767.89</v>
      </c>
      <c r="G77" s="42">
        <f t="shared" ref="G77:G80" si="24">H77+J77+K77+M77+O77+Q77+S77</f>
        <v>1850071.62</v>
      </c>
      <c r="H77" s="35">
        <v>1850071.62</v>
      </c>
      <c r="I77" s="35">
        <f t="shared" ref="I77:I80" si="25">H77/F77</f>
        <v>2409.2925028324371</v>
      </c>
      <c r="J77" s="35">
        <v>0</v>
      </c>
      <c r="K77" s="35">
        <v>0</v>
      </c>
      <c r="L77" s="35"/>
      <c r="M77" s="35">
        <v>0</v>
      </c>
      <c r="N77" s="35"/>
      <c r="O77" s="35">
        <v>0</v>
      </c>
      <c r="P77" s="35"/>
      <c r="Q77" s="35">
        <v>0</v>
      </c>
      <c r="R77" s="35"/>
      <c r="S77" s="35">
        <v>0</v>
      </c>
      <c r="T77" s="35">
        <v>584345.34</v>
      </c>
      <c r="U77" s="35">
        <v>0</v>
      </c>
      <c r="V77" s="35">
        <v>1025835.64</v>
      </c>
      <c r="W77" s="42">
        <f>239890.64</f>
        <v>239890.64</v>
      </c>
      <c r="X77" s="165">
        <v>2015</v>
      </c>
      <c r="Y77" s="165">
        <v>2016</v>
      </c>
      <c r="Z77" s="155">
        <f t="shared" ref="Z77:Z82" si="26">Z76+1</f>
        <v>28</v>
      </c>
      <c r="AA77" s="155">
        <f t="shared" ref="AA77:AA82" si="27">AA76+1</f>
        <v>3</v>
      </c>
      <c r="AB77" s="159">
        <f>T77+V77+W77</f>
        <v>1850071.62</v>
      </c>
      <c r="AC77" s="159">
        <f>AB77-W77</f>
        <v>1610180.98</v>
      </c>
    </row>
    <row r="78" spans="1:29" s="118" customFormat="1" ht="18" customHeight="1" x14ac:dyDescent="0.25">
      <c r="A78" s="165">
        <f t="shared" si="21"/>
        <v>48</v>
      </c>
      <c r="B78" s="24" t="s">
        <v>300</v>
      </c>
      <c r="C78" s="142">
        <v>1957</v>
      </c>
      <c r="D78" s="165"/>
      <c r="E78" s="45">
        <v>1872</v>
      </c>
      <c r="F78" s="45">
        <v>1306.9000000000001</v>
      </c>
      <c r="G78" s="42">
        <f t="shared" si="24"/>
        <v>745312</v>
      </c>
      <c r="H78" s="35">
        <v>420103</v>
      </c>
      <c r="I78" s="35">
        <f t="shared" si="25"/>
        <v>321.44999617415255</v>
      </c>
      <c r="J78" s="35">
        <v>0</v>
      </c>
      <c r="K78" s="35">
        <v>0</v>
      </c>
      <c r="L78" s="35"/>
      <c r="M78" s="35">
        <v>325209</v>
      </c>
      <c r="N78" s="35">
        <f>M78/F78</f>
        <v>248.84000306067793</v>
      </c>
      <c r="O78" s="35">
        <v>0</v>
      </c>
      <c r="P78" s="35"/>
      <c r="Q78" s="35">
        <v>0</v>
      </c>
      <c r="R78" s="35"/>
      <c r="S78" s="35">
        <v>0</v>
      </c>
      <c r="T78" s="35">
        <v>0</v>
      </c>
      <c r="U78" s="35">
        <v>0</v>
      </c>
      <c r="V78" s="35">
        <v>0</v>
      </c>
      <c r="W78" s="42">
        <f t="shared" ref="W78:W82" si="28">G78</f>
        <v>745312</v>
      </c>
      <c r="X78" s="165">
        <v>2016</v>
      </c>
      <c r="Y78" s="165">
        <v>2016</v>
      </c>
      <c r="Z78" s="155">
        <f t="shared" si="26"/>
        <v>29</v>
      </c>
      <c r="AA78" s="155">
        <f t="shared" si="27"/>
        <v>4</v>
      </c>
    </row>
    <row r="79" spans="1:29" s="118" customFormat="1" ht="18" customHeight="1" x14ac:dyDescent="0.25">
      <c r="A79" s="165">
        <f t="shared" si="21"/>
        <v>49</v>
      </c>
      <c r="B79" s="44" t="s">
        <v>303</v>
      </c>
      <c r="C79" s="142">
        <v>1958</v>
      </c>
      <c r="D79" s="165"/>
      <c r="E79" s="22">
        <v>1018.2</v>
      </c>
      <c r="F79" s="22">
        <v>919.6</v>
      </c>
      <c r="G79" s="42">
        <f t="shared" si="24"/>
        <v>336573.6</v>
      </c>
      <c r="H79" s="35">
        <v>336573.6</v>
      </c>
      <c r="I79" s="35">
        <f t="shared" si="25"/>
        <v>365.99999999999994</v>
      </c>
      <c r="J79" s="35">
        <v>0</v>
      </c>
      <c r="K79" s="35">
        <v>0</v>
      </c>
      <c r="L79" s="35"/>
      <c r="M79" s="35">
        <v>0</v>
      </c>
      <c r="N79" s="35"/>
      <c r="O79" s="35">
        <v>0</v>
      </c>
      <c r="P79" s="35"/>
      <c r="Q79" s="35">
        <v>0</v>
      </c>
      <c r="R79" s="35"/>
      <c r="S79" s="35">
        <v>0</v>
      </c>
      <c r="T79" s="35">
        <v>0</v>
      </c>
      <c r="U79" s="35">
        <v>0</v>
      </c>
      <c r="V79" s="35">
        <v>0</v>
      </c>
      <c r="W79" s="42">
        <f t="shared" si="28"/>
        <v>336573.6</v>
      </c>
      <c r="X79" s="165">
        <v>2015</v>
      </c>
      <c r="Y79" s="165">
        <v>2016</v>
      </c>
      <c r="Z79" s="155">
        <f t="shared" si="26"/>
        <v>30</v>
      </c>
      <c r="AA79" s="155">
        <f t="shared" si="27"/>
        <v>5</v>
      </c>
    </row>
    <row r="80" spans="1:29" s="118" customFormat="1" ht="18" customHeight="1" x14ac:dyDescent="0.25">
      <c r="A80" s="165">
        <f t="shared" si="21"/>
        <v>50</v>
      </c>
      <c r="B80" s="24" t="s">
        <v>302</v>
      </c>
      <c r="C80" s="142">
        <v>1947</v>
      </c>
      <c r="D80" s="165"/>
      <c r="E80" s="45">
        <v>1228.7</v>
      </c>
      <c r="F80" s="45">
        <v>916.1</v>
      </c>
      <c r="G80" s="42">
        <f t="shared" si="24"/>
        <v>294480.34999999998</v>
      </c>
      <c r="H80" s="35">
        <v>294480.34999999998</v>
      </c>
      <c r="I80" s="35">
        <f t="shared" si="25"/>
        <v>321.45000545791942</v>
      </c>
      <c r="J80" s="35">
        <v>0</v>
      </c>
      <c r="K80" s="35">
        <v>0</v>
      </c>
      <c r="L80" s="35"/>
      <c r="M80" s="35">
        <v>0</v>
      </c>
      <c r="N80" s="35"/>
      <c r="O80" s="35">
        <v>0</v>
      </c>
      <c r="P80" s="35"/>
      <c r="Q80" s="35">
        <v>0</v>
      </c>
      <c r="R80" s="35"/>
      <c r="S80" s="35">
        <v>0</v>
      </c>
      <c r="T80" s="35">
        <v>0</v>
      </c>
      <c r="U80" s="35">
        <v>0</v>
      </c>
      <c r="V80" s="35">
        <v>0</v>
      </c>
      <c r="W80" s="42">
        <f t="shared" si="28"/>
        <v>294480.34999999998</v>
      </c>
      <c r="X80" s="165">
        <v>2016</v>
      </c>
      <c r="Y80" s="165">
        <v>2016</v>
      </c>
      <c r="Z80" s="155">
        <f t="shared" si="26"/>
        <v>31</v>
      </c>
      <c r="AA80" s="155">
        <f t="shared" si="27"/>
        <v>6</v>
      </c>
    </row>
    <row r="81" spans="1:28" s="118" customFormat="1" ht="18" customHeight="1" x14ac:dyDescent="0.25">
      <c r="A81" s="165">
        <f t="shared" si="21"/>
        <v>51</v>
      </c>
      <c r="B81" s="24" t="s">
        <v>138</v>
      </c>
      <c r="C81" s="142">
        <v>1957</v>
      </c>
      <c r="D81" s="47"/>
      <c r="E81" s="121">
        <v>5627.5</v>
      </c>
      <c r="F81" s="41">
        <v>4919.2</v>
      </c>
      <c r="G81" s="42">
        <f>SUM(H81:S81)</f>
        <v>1538947.39</v>
      </c>
      <c r="H81" s="35">
        <v>1538947.39</v>
      </c>
      <c r="I81" s="35"/>
      <c r="J81" s="35">
        <v>0</v>
      </c>
      <c r="K81" s="35">
        <v>0</v>
      </c>
      <c r="L81" s="35"/>
      <c r="M81" s="35">
        <v>0</v>
      </c>
      <c r="N81" s="35"/>
      <c r="O81" s="35">
        <v>0</v>
      </c>
      <c r="P81" s="35"/>
      <c r="Q81" s="35">
        <v>0</v>
      </c>
      <c r="R81" s="35"/>
      <c r="S81" s="35">
        <v>0</v>
      </c>
      <c r="T81" s="35">
        <v>0</v>
      </c>
      <c r="U81" s="35">
        <v>0</v>
      </c>
      <c r="V81" s="35">
        <v>0</v>
      </c>
      <c r="W81" s="42">
        <f t="shared" si="28"/>
        <v>1538947.39</v>
      </c>
      <c r="X81" s="165">
        <v>2015</v>
      </c>
      <c r="Y81" s="165">
        <v>2016</v>
      </c>
      <c r="Z81" s="155">
        <f t="shared" si="26"/>
        <v>32</v>
      </c>
      <c r="AA81" s="155">
        <f t="shared" si="27"/>
        <v>7</v>
      </c>
    </row>
    <row r="82" spans="1:28" s="118" customFormat="1" ht="18" customHeight="1" x14ac:dyDescent="0.25">
      <c r="A82" s="165">
        <f t="shared" si="21"/>
        <v>52</v>
      </c>
      <c r="B82" s="44" t="s">
        <v>139</v>
      </c>
      <c r="C82" s="142">
        <v>1950</v>
      </c>
      <c r="D82" s="165"/>
      <c r="E82" s="22">
        <v>768.3</v>
      </c>
      <c r="F82" s="22">
        <v>752.9</v>
      </c>
      <c r="G82" s="42">
        <f>H82+J82+K82+M82+O82+Q82+S82</f>
        <v>275561.39999999997</v>
      </c>
      <c r="H82" s="35">
        <v>275561.39999999997</v>
      </c>
      <c r="I82" s="35">
        <f>H82/F82</f>
        <v>365.99999999999994</v>
      </c>
      <c r="J82" s="35">
        <v>0</v>
      </c>
      <c r="K82" s="35">
        <v>0</v>
      </c>
      <c r="L82" s="35"/>
      <c r="M82" s="35">
        <v>0</v>
      </c>
      <c r="N82" s="35"/>
      <c r="O82" s="35">
        <v>0</v>
      </c>
      <c r="P82" s="35"/>
      <c r="Q82" s="35">
        <v>0</v>
      </c>
      <c r="R82" s="35"/>
      <c r="S82" s="35">
        <v>0</v>
      </c>
      <c r="T82" s="35">
        <v>0</v>
      </c>
      <c r="U82" s="35">
        <v>0</v>
      </c>
      <c r="V82" s="35">
        <v>0</v>
      </c>
      <c r="W82" s="42">
        <f t="shared" si="28"/>
        <v>275561.39999999997</v>
      </c>
      <c r="X82" s="165">
        <v>2015</v>
      </c>
      <c r="Y82" s="165">
        <v>2016</v>
      </c>
      <c r="Z82" s="155">
        <f t="shared" si="26"/>
        <v>33</v>
      </c>
      <c r="AA82" s="155">
        <f t="shared" si="27"/>
        <v>8</v>
      </c>
    </row>
    <row r="83" spans="1:28" s="116" customFormat="1" ht="19.5" customHeight="1" x14ac:dyDescent="0.25">
      <c r="A83" s="183" t="s">
        <v>173</v>
      </c>
      <c r="B83" s="183"/>
      <c r="C83" s="143"/>
      <c r="D83" s="76"/>
      <c r="E83" s="122">
        <v>0</v>
      </c>
      <c r="F83" s="122">
        <v>0</v>
      </c>
      <c r="G83" s="123">
        <v>0</v>
      </c>
      <c r="H83" s="122">
        <v>0</v>
      </c>
      <c r="I83" s="122"/>
      <c r="J83" s="122">
        <v>0</v>
      </c>
      <c r="K83" s="122">
        <v>0</v>
      </c>
      <c r="L83" s="122"/>
      <c r="M83" s="122">
        <v>0</v>
      </c>
      <c r="N83" s="122"/>
      <c r="O83" s="122">
        <v>0</v>
      </c>
      <c r="P83" s="122"/>
      <c r="Q83" s="122">
        <v>0</v>
      </c>
      <c r="R83" s="122"/>
      <c r="S83" s="122">
        <v>0</v>
      </c>
      <c r="T83" s="122">
        <v>0</v>
      </c>
      <c r="U83" s="122">
        <v>0</v>
      </c>
      <c r="V83" s="122">
        <v>0</v>
      </c>
      <c r="W83" s="123">
        <v>0</v>
      </c>
      <c r="X83" s="20" t="s">
        <v>368</v>
      </c>
      <c r="Y83" s="20" t="s">
        <v>368</v>
      </c>
      <c r="Z83" s="156"/>
      <c r="AA83" s="156"/>
    </row>
    <row r="84" spans="1:28" s="116" customFormat="1" ht="19.5" customHeight="1" x14ac:dyDescent="0.25">
      <c r="A84" s="183" t="s">
        <v>171</v>
      </c>
      <c r="B84" s="183"/>
      <c r="C84" s="142"/>
      <c r="D84" s="165"/>
      <c r="E84" s="19">
        <f>SUM(E69:E74)</f>
        <v>20349</v>
      </c>
      <c r="F84" s="19">
        <f t="shared" ref="F84:W84" si="29">SUM(F69:F74)</f>
        <v>16114.7</v>
      </c>
      <c r="G84" s="19">
        <f t="shared" si="29"/>
        <v>23208296.920000002</v>
      </c>
      <c r="H84" s="19">
        <f t="shared" si="29"/>
        <v>15591297.359999999</v>
      </c>
      <c r="I84" s="19">
        <f t="shared" si="29"/>
        <v>0</v>
      </c>
      <c r="J84" s="19">
        <f t="shared" si="29"/>
        <v>0</v>
      </c>
      <c r="K84" s="19">
        <f t="shared" si="29"/>
        <v>7616999.5599999996</v>
      </c>
      <c r="L84" s="19">
        <f t="shared" si="29"/>
        <v>0</v>
      </c>
      <c r="M84" s="19">
        <f t="shared" si="29"/>
        <v>0</v>
      </c>
      <c r="N84" s="19">
        <f t="shared" si="29"/>
        <v>0</v>
      </c>
      <c r="O84" s="19">
        <f t="shared" si="29"/>
        <v>0</v>
      </c>
      <c r="P84" s="19">
        <f t="shared" si="29"/>
        <v>0</v>
      </c>
      <c r="Q84" s="19">
        <f t="shared" si="29"/>
        <v>0</v>
      </c>
      <c r="R84" s="19">
        <f t="shared" si="29"/>
        <v>0</v>
      </c>
      <c r="S84" s="19">
        <f t="shared" si="29"/>
        <v>0</v>
      </c>
      <c r="T84" s="19">
        <f t="shared" si="29"/>
        <v>8568345.9800000004</v>
      </c>
      <c r="U84" s="19">
        <f t="shared" si="29"/>
        <v>0</v>
      </c>
      <c r="V84" s="19">
        <f t="shared" si="29"/>
        <v>10596321.690000001</v>
      </c>
      <c r="W84" s="19">
        <f t="shared" si="29"/>
        <v>4043629.25</v>
      </c>
      <c r="X84" s="20" t="s">
        <v>368</v>
      </c>
      <c r="Y84" s="20" t="s">
        <v>368</v>
      </c>
      <c r="Z84" s="156"/>
      <c r="AA84" s="156"/>
    </row>
    <row r="85" spans="1:28" s="116" customFormat="1" ht="19.5" customHeight="1" x14ac:dyDescent="0.25">
      <c r="A85" s="183" t="s">
        <v>172</v>
      </c>
      <c r="B85" s="183"/>
      <c r="C85" s="142"/>
      <c r="D85" s="165"/>
      <c r="E85" s="19">
        <f>SUM(E75:E82)</f>
        <v>18765.990000000002</v>
      </c>
      <c r="F85" s="19">
        <f t="shared" ref="F85:W85" si="30">SUM(F75:F82)</f>
        <v>15885.49</v>
      </c>
      <c r="G85" s="19">
        <f t="shared" si="30"/>
        <v>15455548.9</v>
      </c>
      <c r="H85" s="19">
        <f t="shared" si="30"/>
        <v>9294089.129999999</v>
      </c>
      <c r="I85" s="19">
        <f t="shared" si="30"/>
        <v>4105.6425075591424</v>
      </c>
      <c r="J85" s="19">
        <f t="shared" si="30"/>
        <v>0</v>
      </c>
      <c r="K85" s="19">
        <f t="shared" si="30"/>
        <v>5836250.7699999996</v>
      </c>
      <c r="L85" s="19">
        <f t="shared" si="30"/>
        <v>0</v>
      </c>
      <c r="M85" s="19">
        <f t="shared" si="30"/>
        <v>325209</v>
      </c>
      <c r="N85" s="19">
        <f t="shared" si="30"/>
        <v>248.84000306067793</v>
      </c>
      <c r="O85" s="19">
        <f t="shared" si="30"/>
        <v>0</v>
      </c>
      <c r="P85" s="19">
        <f t="shared" si="30"/>
        <v>0</v>
      </c>
      <c r="Q85" s="19">
        <f t="shared" si="30"/>
        <v>0</v>
      </c>
      <c r="R85" s="19">
        <f t="shared" si="30"/>
        <v>0</v>
      </c>
      <c r="S85" s="19">
        <f t="shared" si="30"/>
        <v>0</v>
      </c>
      <c r="T85" s="19">
        <f t="shared" si="30"/>
        <v>2057377.8599999999</v>
      </c>
      <c r="U85" s="19">
        <f t="shared" si="30"/>
        <v>0</v>
      </c>
      <c r="V85" s="19">
        <f t="shared" si="30"/>
        <v>3611788.12</v>
      </c>
      <c r="W85" s="19">
        <f t="shared" si="30"/>
        <v>9786382.9199999981</v>
      </c>
      <c r="X85" s="20" t="s">
        <v>368</v>
      </c>
      <c r="Y85" s="20" t="s">
        <v>368</v>
      </c>
      <c r="Z85" s="156"/>
      <c r="AA85" s="156"/>
      <c r="AB85" s="157">
        <f>T85+V85+W85</f>
        <v>15455548.899999999</v>
      </c>
    </row>
    <row r="86" spans="1:28" s="116" customFormat="1" ht="18" customHeight="1" x14ac:dyDescent="0.25">
      <c r="A86" s="182" t="s">
        <v>101</v>
      </c>
      <c r="B86" s="182"/>
      <c r="C86" s="182"/>
      <c r="D86" s="18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2"/>
      <c r="Q86" s="182"/>
      <c r="R86" s="182"/>
      <c r="S86" s="182"/>
      <c r="T86" s="182"/>
      <c r="U86" s="182"/>
      <c r="V86" s="182"/>
      <c r="W86" s="182"/>
      <c r="X86" s="119"/>
      <c r="Y86" s="119"/>
      <c r="Z86" s="156"/>
      <c r="AA86" s="156"/>
    </row>
    <row r="87" spans="1:28" s="118" customFormat="1" ht="18" customHeight="1" x14ac:dyDescent="0.25">
      <c r="A87" s="165">
        <f>A82+1</f>
        <v>53</v>
      </c>
      <c r="B87" s="24" t="s">
        <v>34</v>
      </c>
      <c r="C87" s="142">
        <v>1972</v>
      </c>
      <c r="D87" s="47"/>
      <c r="E87" s="22">
        <v>4470.3</v>
      </c>
      <c r="F87" s="45">
        <v>4409.5</v>
      </c>
      <c r="G87" s="42">
        <f t="shared" ref="G87:G118" si="31">SUM(H87:S87)</f>
        <v>650033.69999999995</v>
      </c>
      <c r="H87" s="23">
        <v>650033.69999999995</v>
      </c>
      <c r="I87" s="23"/>
      <c r="J87" s="35">
        <v>0</v>
      </c>
      <c r="K87" s="35">
        <v>0</v>
      </c>
      <c r="L87" s="35"/>
      <c r="M87" s="35">
        <v>0</v>
      </c>
      <c r="N87" s="35"/>
      <c r="O87" s="35">
        <v>0</v>
      </c>
      <c r="P87" s="35"/>
      <c r="Q87" s="35">
        <v>0</v>
      </c>
      <c r="R87" s="35"/>
      <c r="S87" s="35">
        <v>0</v>
      </c>
      <c r="T87" s="35">
        <v>0</v>
      </c>
      <c r="U87" s="35">
        <v>0</v>
      </c>
      <c r="V87" s="23">
        <v>650033.69999999995</v>
      </c>
      <c r="W87" s="42">
        <v>0</v>
      </c>
      <c r="X87" s="165">
        <v>2014</v>
      </c>
      <c r="Y87" s="165">
        <v>2014</v>
      </c>
      <c r="Z87" s="155"/>
      <c r="AA87" s="155"/>
    </row>
    <row r="88" spans="1:28" s="118" customFormat="1" ht="18" customHeight="1" x14ac:dyDescent="0.25">
      <c r="A88" s="165">
        <f>A87+1</f>
        <v>54</v>
      </c>
      <c r="B88" s="24" t="s">
        <v>35</v>
      </c>
      <c r="C88" s="142">
        <v>1959</v>
      </c>
      <c r="D88" s="47"/>
      <c r="E88" s="22">
        <v>767</v>
      </c>
      <c r="F88" s="45">
        <v>705.1</v>
      </c>
      <c r="G88" s="42">
        <f t="shared" si="31"/>
        <v>397962.39</v>
      </c>
      <c r="H88" s="23">
        <v>397962.39</v>
      </c>
      <c r="I88" s="23"/>
      <c r="J88" s="35">
        <v>0</v>
      </c>
      <c r="K88" s="35">
        <v>0</v>
      </c>
      <c r="L88" s="35"/>
      <c r="M88" s="35">
        <v>0</v>
      </c>
      <c r="N88" s="35"/>
      <c r="O88" s="35">
        <v>0</v>
      </c>
      <c r="P88" s="35"/>
      <c r="Q88" s="35">
        <v>0</v>
      </c>
      <c r="R88" s="35"/>
      <c r="S88" s="35">
        <v>0</v>
      </c>
      <c r="T88" s="35">
        <v>0</v>
      </c>
      <c r="U88" s="35">
        <v>0</v>
      </c>
      <c r="V88" s="23">
        <v>397962.39</v>
      </c>
      <c r="W88" s="42">
        <v>0</v>
      </c>
      <c r="X88" s="165">
        <v>2014</v>
      </c>
      <c r="Y88" s="165">
        <v>2014</v>
      </c>
      <c r="Z88" s="155"/>
      <c r="AA88" s="155"/>
    </row>
    <row r="89" spans="1:28" s="118" customFormat="1" ht="18" customHeight="1" x14ac:dyDescent="0.25">
      <c r="A89" s="165">
        <f t="shared" ref="A89:A152" si="32">A88+1</f>
        <v>55</v>
      </c>
      <c r="B89" s="24" t="s">
        <v>86</v>
      </c>
      <c r="C89" s="142">
        <v>1976</v>
      </c>
      <c r="D89" s="47"/>
      <c r="E89" s="22">
        <v>3872.2</v>
      </c>
      <c r="F89" s="45">
        <v>3841.5</v>
      </c>
      <c r="G89" s="42">
        <f t="shared" si="31"/>
        <v>5788563.2599999998</v>
      </c>
      <c r="H89" s="23">
        <v>113619</v>
      </c>
      <c r="I89" s="23"/>
      <c r="J89" s="23">
        <v>1584269.7</v>
      </c>
      <c r="K89" s="52">
        <v>2437986.65</v>
      </c>
      <c r="L89" s="52"/>
      <c r="M89" s="35">
        <v>0</v>
      </c>
      <c r="N89" s="35"/>
      <c r="O89" s="23">
        <v>1652687.91</v>
      </c>
      <c r="P89" s="23"/>
      <c r="Q89" s="35">
        <v>0</v>
      </c>
      <c r="R89" s="35"/>
      <c r="S89" s="35">
        <v>0</v>
      </c>
      <c r="T89" s="35">
        <v>0</v>
      </c>
      <c r="U89" s="35">
        <v>0</v>
      </c>
      <c r="V89" s="52">
        <v>5788563.2599999998</v>
      </c>
      <c r="W89" s="42">
        <v>0</v>
      </c>
      <c r="X89" s="165">
        <v>2014</v>
      </c>
      <c r="Y89" s="165">
        <v>2014</v>
      </c>
      <c r="Z89" s="155"/>
      <c r="AA89" s="155"/>
    </row>
    <row r="90" spans="1:28" s="118" customFormat="1" ht="18" customHeight="1" x14ac:dyDescent="0.25">
      <c r="A90" s="165">
        <f t="shared" si="32"/>
        <v>56</v>
      </c>
      <c r="B90" s="24" t="s">
        <v>87</v>
      </c>
      <c r="C90" s="142">
        <v>1976</v>
      </c>
      <c r="D90" s="47"/>
      <c r="E90" s="22">
        <v>4531.6000000000004</v>
      </c>
      <c r="F90" s="45">
        <v>3752.2</v>
      </c>
      <c r="G90" s="42">
        <f t="shared" si="31"/>
        <v>1405104.93</v>
      </c>
      <c r="H90" s="35">
        <v>0</v>
      </c>
      <c r="I90" s="35"/>
      <c r="J90" s="23">
        <v>1405104.93</v>
      </c>
      <c r="K90" s="35">
        <v>0</v>
      </c>
      <c r="L90" s="35"/>
      <c r="M90" s="35">
        <v>0</v>
      </c>
      <c r="N90" s="35"/>
      <c r="O90" s="35">
        <v>0</v>
      </c>
      <c r="P90" s="35"/>
      <c r="Q90" s="35">
        <v>0</v>
      </c>
      <c r="R90" s="35"/>
      <c r="S90" s="35">
        <v>0</v>
      </c>
      <c r="T90" s="35">
        <v>0</v>
      </c>
      <c r="U90" s="35">
        <v>0</v>
      </c>
      <c r="V90" s="52">
        <v>1405104.93</v>
      </c>
      <c r="W90" s="42">
        <v>0</v>
      </c>
      <c r="X90" s="165">
        <v>2014</v>
      </c>
      <c r="Y90" s="165">
        <v>2014</v>
      </c>
      <c r="Z90" s="155"/>
      <c r="AA90" s="155"/>
    </row>
    <row r="91" spans="1:28" s="118" customFormat="1" ht="18" customHeight="1" x14ac:dyDescent="0.25">
      <c r="A91" s="165">
        <f t="shared" si="32"/>
        <v>57</v>
      </c>
      <c r="B91" s="24" t="s">
        <v>88</v>
      </c>
      <c r="C91" s="142">
        <v>1976</v>
      </c>
      <c r="D91" s="47"/>
      <c r="E91" s="22">
        <v>2665.1</v>
      </c>
      <c r="F91" s="45">
        <v>2403.3000000000002</v>
      </c>
      <c r="G91" s="42">
        <f t="shared" si="31"/>
        <v>3354100</v>
      </c>
      <c r="H91" s="35">
        <v>0</v>
      </c>
      <c r="I91" s="35"/>
      <c r="J91" s="23">
        <v>3354100</v>
      </c>
      <c r="K91" s="35">
        <v>0</v>
      </c>
      <c r="L91" s="35"/>
      <c r="M91" s="35">
        <v>0</v>
      </c>
      <c r="N91" s="35"/>
      <c r="O91" s="35">
        <v>0</v>
      </c>
      <c r="P91" s="35"/>
      <c r="Q91" s="35">
        <v>0</v>
      </c>
      <c r="R91" s="35"/>
      <c r="S91" s="35">
        <v>0</v>
      </c>
      <c r="T91" s="35">
        <v>0</v>
      </c>
      <c r="U91" s="35">
        <v>0</v>
      </c>
      <c r="V91" s="23">
        <v>3018700</v>
      </c>
      <c r="W91" s="42">
        <v>335400</v>
      </c>
      <c r="X91" s="165">
        <v>2014</v>
      </c>
      <c r="Y91" s="165">
        <v>2014</v>
      </c>
      <c r="Z91" s="155"/>
      <c r="AA91" s="155"/>
    </row>
    <row r="92" spans="1:28" s="118" customFormat="1" ht="18.75" customHeight="1" x14ac:dyDescent="0.25">
      <c r="A92" s="165">
        <f t="shared" si="32"/>
        <v>58</v>
      </c>
      <c r="B92" s="24" t="s">
        <v>409</v>
      </c>
      <c r="C92" s="142">
        <v>1973</v>
      </c>
      <c r="D92" s="47"/>
      <c r="E92" s="22">
        <v>3392.4</v>
      </c>
      <c r="F92" s="45">
        <v>2584.6999999999998</v>
      </c>
      <c r="G92" s="42">
        <f t="shared" si="31"/>
        <v>1332000</v>
      </c>
      <c r="H92" s="23">
        <v>1332000</v>
      </c>
      <c r="I92" s="23"/>
      <c r="J92" s="35">
        <v>0</v>
      </c>
      <c r="K92" s="35">
        <v>0</v>
      </c>
      <c r="L92" s="35"/>
      <c r="M92" s="35">
        <v>0</v>
      </c>
      <c r="N92" s="35"/>
      <c r="O92" s="35">
        <v>0</v>
      </c>
      <c r="P92" s="35"/>
      <c r="Q92" s="35">
        <v>0</v>
      </c>
      <c r="R92" s="35"/>
      <c r="S92" s="35">
        <v>0</v>
      </c>
      <c r="T92" s="35">
        <v>0</v>
      </c>
      <c r="U92" s="35">
        <v>0</v>
      </c>
      <c r="V92" s="52">
        <v>1198800</v>
      </c>
      <c r="W92" s="42">
        <v>133200</v>
      </c>
      <c r="X92" s="165">
        <v>2014</v>
      </c>
      <c r="Y92" s="165">
        <v>2014</v>
      </c>
      <c r="Z92" s="155"/>
      <c r="AA92" s="155"/>
    </row>
    <row r="93" spans="1:28" s="118" customFormat="1" ht="18" customHeight="1" x14ac:dyDescent="0.25">
      <c r="A93" s="165">
        <f t="shared" si="32"/>
        <v>59</v>
      </c>
      <c r="B93" s="24" t="s">
        <v>410</v>
      </c>
      <c r="C93" s="142">
        <v>1937</v>
      </c>
      <c r="D93" s="47"/>
      <c r="E93" s="22">
        <v>4011.5</v>
      </c>
      <c r="F93" s="45">
        <v>2956.5</v>
      </c>
      <c r="G93" s="42">
        <f t="shared" si="31"/>
        <v>7518651.0219600881</v>
      </c>
      <c r="H93" s="35">
        <v>0</v>
      </c>
      <c r="I93" s="35"/>
      <c r="J93" s="35">
        <v>0</v>
      </c>
      <c r="K93" s="23">
        <v>7516108.79</v>
      </c>
      <c r="L93" s="23">
        <f>K93/F93</f>
        <v>2542.2319600879418</v>
      </c>
      <c r="M93" s="35">
        <v>0</v>
      </c>
      <c r="N93" s="35"/>
      <c r="O93" s="35">
        <v>0</v>
      </c>
      <c r="P93" s="35"/>
      <c r="Q93" s="35">
        <v>0</v>
      </c>
      <c r="R93" s="35"/>
      <c r="S93" s="35">
        <v>0</v>
      </c>
      <c r="T93" s="35">
        <v>0</v>
      </c>
      <c r="U93" s="35">
        <v>0</v>
      </c>
      <c r="V93" s="52">
        <v>7516108.79</v>
      </c>
      <c r="W93" s="42">
        <v>0</v>
      </c>
      <c r="X93" s="165">
        <v>2014</v>
      </c>
      <c r="Y93" s="165">
        <v>2014</v>
      </c>
      <c r="Z93" s="155"/>
      <c r="AA93" s="155"/>
    </row>
    <row r="94" spans="1:28" s="118" customFormat="1" ht="33.75" customHeight="1" x14ac:dyDescent="0.25">
      <c r="A94" s="165">
        <f t="shared" si="32"/>
        <v>60</v>
      </c>
      <c r="B94" s="24" t="s">
        <v>435</v>
      </c>
      <c r="C94" s="142">
        <v>1967</v>
      </c>
      <c r="D94" s="47"/>
      <c r="E94" s="22">
        <v>4491.6000000000004</v>
      </c>
      <c r="F94" s="45">
        <v>4400.6000000000004</v>
      </c>
      <c r="G94" s="42">
        <f t="shared" si="31"/>
        <v>974400</v>
      </c>
      <c r="H94" s="35">
        <v>0</v>
      </c>
      <c r="I94" s="35"/>
      <c r="J94" s="35">
        <v>0</v>
      </c>
      <c r="K94" s="35">
        <v>0</v>
      </c>
      <c r="L94" s="35"/>
      <c r="M94" s="35">
        <v>0</v>
      </c>
      <c r="N94" s="35"/>
      <c r="O94" s="23">
        <v>974400</v>
      </c>
      <c r="P94" s="23"/>
      <c r="Q94" s="35">
        <v>0</v>
      </c>
      <c r="R94" s="35"/>
      <c r="S94" s="35">
        <v>0</v>
      </c>
      <c r="T94" s="35">
        <v>0</v>
      </c>
      <c r="U94" s="35">
        <v>0</v>
      </c>
      <c r="V94" s="23">
        <v>974400</v>
      </c>
      <c r="W94" s="42">
        <v>0</v>
      </c>
      <c r="X94" s="165">
        <v>2014</v>
      </c>
      <c r="Y94" s="165">
        <v>2014</v>
      </c>
      <c r="Z94" s="155"/>
      <c r="AA94" s="155"/>
    </row>
    <row r="95" spans="1:28" s="118" customFormat="1" ht="18" customHeight="1" x14ac:dyDescent="0.25">
      <c r="A95" s="165">
        <f t="shared" si="32"/>
        <v>61</v>
      </c>
      <c r="B95" s="24" t="s">
        <v>438</v>
      </c>
      <c r="C95" s="142">
        <v>1975</v>
      </c>
      <c r="D95" s="47"/>
      <c r="E95" s="22">
        <v>4441.6000000000004</v>
      </c>
      <c r="F95" s="45">
        <v>3841.5</v>
      </c>
      <c r="G95" s="42">
        <f t="shared" si="31"/>
        <v>395487</v>
      </c>
      <c r="H95" s="23">
        <v>395487</v>
      </c>
      <c r="I95" s="23"/>
      <c r="J95" s="35">
        <v>0</v>
      </c>
      <c r="K95" s="35">
        <v>0</v>
      </c>
      <c r="L95" s="35"/>
      <c r="M95" s="35">
        <v>0</v>
      </c>
      <c r="N95" s="35"/>
      <c r="O95" s="35">
        <v>0</v>
      </c>
      <c r="P95" s="35"/>
      <c r="Q95" s="35">
        <v>0</v>
      </c>
      <c r="R95" s="35"/>
      <c r="S95" s="35">
        <v>0</v>
      </c>
      <c r="T95" s="35">
        <v>0</v>
      </c>
      <c r="U95" s="35">
        <v>0</v>
      </c>
      <c r="V95" s="23">
        <v>395487</v>
      </c>
      <c r="W95" s="42">
        <v>0</v>
      </c>
      <c r="X95" s="165">
        <v>2014</v>
      </c>
      <c r="Y95" s="165">
        <v>2014</v>
      </c>
      <c r="Z95" s="155"/>
      <c r="AA95" s="155"/>
    </row>
    <row r="96" spans="1:28" s="118" customFormat="1" ht="18" customHeight="1" x14ac:dyDescent="0.25">
      <c r="A96" s="165">
        <f t="shared" si="32"/>
        <v>62</v>
      </c>
      <c r="B96" s="24" t="s">
        <v>439</v>
      </c>
      <c r="C96" s="142">
        <v>1975</v>
      </c>
      <c r="D96" s="47"/>
      <c r="E96" s="22">
        <v>4455.6000000000004</v>
      </c>
      <c r="F96" s="45">
        <v>3816.3</v>
      </c>
      <c r="G96" s="42">
        <f t="shared" si="31"/>
        <v>590911.9</v>
      </c>
      <c r="H96" s="23">
        <v>590911.9</v>
      </c>
      <c r="I96" s="23"/>
      <c r="J96" s="35">
        <v>0</v>
      </c>
      <c r="K96" s="35">
        <v>0</v>
      </c>
      <c r="L96" s="35"/>
      <c r="M96" s="35">
        <v>0</v>
      </c>
      <c r="N96" s="35"/>
      <c r="O96" s="35">
        <v>0</v>
      </c>
      <c r="P96" s="35"/>
      <c r="Q96" s="35">
        <v>0</v>
      </c>
      <c r="R96" s="35"/>
      <c r="S96" s="35">
        <v>0</v>
      </c>
      <c r="T96" s="35">
        <v>0</v>
      </c>
      <c r="U96" s="35">
        <v>0</v>
      </c>
      <c r="V96" s="23">
        <v>590911.9</v>
      </c>
      <c r="W96" s="42">
        <v>0</v>
      </c>
      <c r="X96" s="165">
        <v>2014</v>
      </c>
      <c r="Y96" s="165">
        <v>2014</v>
      </c>
      <c r="Z96" s="155"/>
      <c r="AA96" s="155"/>
    </row>
    <row r="97" spans="1:27" s="118" customFormat="1" ht="18" customHeight="1" x14ac:dyDescent="0.25">
      <c r="A97" s="165">
        <f t="shared" si="32"/>
        <v>63</v>
      </c>
      <c r="B97" s="24" t="s">
        <v>36</v>
      </c>
      <c r="C97" s="142">
        <v>1979</v>
      </c>
      <c r="D97" s="47"/>
      <c r="E97" s="22">
        <v>18162.400000000001</v>
      </c>
      <c r="F97" s="45">
        <v>15744.7</v>
      </c>
      <c r="G97" s="42">
        <f t="shared" si="31"/>
        <v>1000260</v>
      </c>
      <c r="H97" s="23">
        <v>1000260</v>
      </c>
      <c r="I97" s="23"/>
      <c r="J97" s="35">
        <v>0</v>
      </c>
      <c r="K97" s="35">
        <v>0</v>
      </c>
      <c r="L97" s="35"/>
      <c r="M97" s="35">
        <v>0</v>
      </c>
      <c r="N97" s="35"/>
      <c r="O97" s="35">
        <v>0</v>
      </c>
      <c r="P97" s="35"/>
      <c r="Q97" s="35">
        <v>0</v>
      </c>
      <c r="R97" s="35"/>
      <c r="S97" s="35">
        <v>0</v>
      </c>
      <c r="T97" s="35">
        <v>0</v>
      </c>
      <c r="U97" s="35">
        <v>0</v>
      </c>
      <c r="V97" s="23">
        <v>1000260</v>
      </c>
      <c r="W97" s="42">
        <v>0</v>
      </c>
      <c r="X97" s="165">
        <v>2014</v>
      </c>
      <c r="Y97" s="165">
        <v>2014</v>
      </c>
      <c r="Z97" s="155"/>
      <c r="AA97" s="155"/>
    </row>
    <row r="98" spans="1:27" s="118" customFormat="1" ht="18" customHeight="1" x14ac:dyDescent="0.25">
      <c r="A98" s="165">
        <f t="shared" si="32"/>
        <v>64</v>
      </c>
      <c r="B98" s="24" t="s">
        <v>37</v>
      </c>
      <c r="C98" s="142">
        <v>1956</v>
      </c>
      <c r="D98" s="47"/>
      <c r="E98" s="22">
        <v>4363.2</v>
      </c>
      <c r="F98" s="45">
        <v>3569.7</v>
      </c>
      <c r="G98" s="42">
        <f t="shared" si="31"/>
        <v>3395980.75</v>
      </c>
      <c r="H98" s="35">
        <v>0</v>
      </c>
      <c r="I98" s="35"/>
      <c r="J98" s="35">
        <v>0</v>
      </c>
      <c r="K98" s="23">
        <v>3395980.75</v>
      </c>
      <c r="L98" s="23"/>
      <c r="M98" s="35">
        <v>0</v>
      </c>
      <c r="N98" s="35"/>
      <c r="O98" s="35">
        <v>0</v>
      </c>
      <c r="P98" s="35"/>
      <c r="Q98" s="35">
        <v>0</v>
      </c>
      <c r="R98" s="35"/>
      <c r="S98" s="35">
        <v>0</v>
      </c>
      <c r="T98" s="35">
        <v>0</v>
      </c>
      <c r="U98" s="35">
        <v>0</v>
      </c>
      <c r="V98" s="23">
        <v>3395980.75</v>
      </c>
      <c r="W98" s="42">
        <v>0</v>
      </c>
      <c r="X98" s="165">
        <v>2014</v>
      </c>
      <c r="Y98" s="165">
        <v>2014</v>
      </c>
      <c r="Z98" s="155"/>
      <c r="AA98" s="155"/>
    </row>
    <row r="99" spans="1:27" s="118" customFormat="1" ht="18" customHeight="1" x14ac:dyDescent="0.25">
      <c r="A99" s="165">
        <f t="shared" si="32"/>
        <v>65</v>
      </c>
      <c r="B99" s="24" t="s">
        <v>38</v>
      </c>
      <c r="C99" s="142">
        <v>1975</v>
      </c>
      <c r="D99" s="47"/>
      <c r="E99" s="22">
        <v>1170.2</v>
      </c>
      <c r="F99" s="45">
        <v>1149.9000000000001</v>
      </c>
      <c r="G99" s="42">
        <f t="shared" si="31"/>
        <v>333198</v>
      </c>
      <c r="H99" s="23">
        <v>333198</v>
      </c>
      <c r="I99" s="23"/>
      <c r="J99" s="35">
        <v>0</v>
      </c>
      <c r="K99" s="35">
        <v>0</v>
      </c>
      <c r="L99" s="35"/>
      <c r="M99" s="35">
        <v>0</v>
      </c>
      <c r="N99" s="35"/>
      <c r="O99" s="35">
        <v>0</v>
      </c>
      <c r="P99" s="35"/>
      <c r="Q99" s="35">
        <v>0</v>
      </c>
      <c r="R99" s="35"/>
      <c r="S99" s="35">
        <v>0</v>
      </c>
      <c r="T99" s="35">
        <v>0</v>
      </c>
      <c r="U99" s="35">
        <v>0</v>
      </c>
      <c r="V99" s="23">
        <v>333198</v>
      </c>
      <c r="W99" s="42">
        <v>0</v>
      </c>
      <c r="X99" s="165">
        <v>2014</v>
      </c>
      <c r="Y99" s="165">
        <v>2014</v>
      </c>
      <c r="Z99" s="155"/>
      <c r="AA99" s="155"/>
    </row>
    <row r="100" spans="1:27" s="118" customFormat="1" ht="18" customHeight="1" x14ac:dyDescent="0.25">
      <c r="A100" s="165">
        <f t="shared" si="32"/>
        <v>66</v>
      </c>
      <c r="B100" s="24" t="s">
        <v>39</v>
      </c>
      <c r="C100" s="142">
        <v>1982</v>
      </c>
      <c r="D100" s="47"/>
      <c r="E100" s="22">
        <v>3882.6</v>
      </c>
      <c r="F100" s="45">
        <v>3835.7</v>
      </c>
      <c r="G100" s="42">
        <f t="shared" si="31"/>
        <v>1203000</v>
      </c>
      <c r="H100" s="23">
        <v>1203000</v>
      </c>
      <c r="I100" s="23"/>
      <c r="J100" s="35">
        <v>0</v>
      </c>
      <c r="K100" s="35">
        <v>0</v>
      </c>
      <c r="L100" s="35"/>
      <c r="M100" s="35">
        <v>0</v>
      </c>
      <c r="N100" s="35"/>
      <c r="O100" s="35">
        <v>0</v>
      </c>
      <c r="P100" s="35"/>
      <c r="Q100" s="35">
        <v>0</v>
      </c>
      <c r="R100" s="35"/>
      <c r="S100" s="35">
        <v>0</v>
      </c>
      <c r="T100" s="35">
        <v>0</v>
      </c>
      <c r="U100" s="35">
        <v>0</v>
      </c>
      <c r="V100" s="23">
        <v>1082700</v>
      </c>
      <c r="W100" s="42">
        <v>120300</v>
      </c>
      <c r="X100" s="165">
        <v>2014</v>
      </c>
      <c r="Y100" s="165">
        <v>2014</v>
      </c>
      <c r="Z100" s="155"/>
      <c r="AA100" s="155"/>
    </row>
    <row r="101" spans="1:27" s="118" customFormat="1" ht="18" customHeight="1" x14ac:dyDescent="0.25">
      <c r="A101" s="165">
        <f t="shared" si="32"/>
        <v>67</v>
      </c>
      <c r="B101" s="24" t="s">
        <v>40</v>
      </c>
      <c r="C101" s="142">
        <v>1982</v>
      </c>
      <c r="D101" s="47"/>
      <c r="E101" s="22">
        <v>1899.8</v>
      </c>
      <c r="F101" s="45">
        <v>1858.7</v>
      </c>
      <c r="G101" s="42">
        <f t="shared" si="31"/>
        <v>1120849.5900000001</v>
      </c>
      <c r="H101" s="35">
        <v>0</v>
      </c>
      <c r="I101" s="35"/>
      <c r="J101" s="35">
        <v>0</v>
      </c>
      <c r="K101" s="23">
        <v>1120849.5900000001</v>
      </c>
      <c r="L101" s="23"/>
      <c r="M101" s="35">
        <v>0</v>
      </c>
      <c r="N101" s="35"/>
      <c r="O101" s="35">
        <v>0</v>
      </c>
      <c r="P101" s="35"/>
      <c r="Q101" s="35">
        <v>0</v>
      </c>
      <c r="R101" s="35"/>
      <c r="S101" s="35">
        <v>0</v>
      </c>
      <c r="T101" s="35">
        <v>0</v>
      </c>
      <c r="U101" s="35">
        <v>0</v>
      </c>
      <c r="V101" s="23">
        <v>1120849.5900000001</v>
      </c>
      <c r="W101" s="42">
        <v>0</v>
      </c>
      <c r="X101" s="165">
        <v>2014</v>
      </c>
      <c r="Y101" s="165">
        <v>2014</v>
      </c>
      <c r="Z101" s="155"/>
      <c r="AA101" s="155"/>
    </row>
    <row r="102" spans="1:27" s="118" customFormat="1" ht="18" customHeight="1" x14ac:dyDescent="0.25">
      <c r="A102" s="165">
        <f t="shared" si="32"/>
        <v>68</v>
      </c>
      <c r="B102" s="24" t="s">
        <v>41</v>
      </c>
      <c r="C102" s="142">
        <v>1982</v>
      </c>
      <c r="D102" s="47"/>
      <c r="E102" s="22">
        <v>5294.6</v>
      </c>
      <c r="F102" s="45">
        <v>5238.8999999999996</v>
      </c>
      <c r="G102" s="42">
        <f t="shared" si="31"/>
        <v>891209.47</v>
      </c>
      <c r="H102" s="35">
        <v>0</v>
      </c>
      <c r="I102" s="35"/>
      <c r="J102" s="35">
        <v>0</v>
      </c>
      <c r="K102" s="23">
        <v>891209.47</v>
      </c>
      <c r="L102" s="23"/>
      <c r="M102" s="35">
        <v>0</v>
      </c>
      <c r="N102" s="35"/>
      <c r="O102" s="35">
        <v>0</v>
      </c>
      <c r="P102" s="35"/>
      <c r="Q102" s="35">
        <v>0</v>
      </c>
      <c r="R102" s="35"/>
      <c r="S102" s="35">
        <v>0</v>
      </c>
      <c r="T102" s="35">
        <v>0</v>
      </c>
      <c r="U102" s="35">
        <v>0</v>
      </c>
      <c r="V102" s="23">
        <v>891209.47</v>
      </c>
      <c r="W102" s="42">
        <v>0</v>
      </c>
      <c r="X102" s="165">
        <v>2014</v>
      </c>
      <c r="Y102" s="165">
        <v>2014</v>
      </c>
      <c r="Z102" s="155"/>
      <c r="AA102" s="155"/>
    </row>
    <row r="103" spans="1:27" s="118" customFormat="1" ht="18" customHeight="1" x14ac:dyDescent="0.25">
      <c r="A103" s="165">
        <f t="shared" si="32"/>
        <v>69</v>
      </c>
      <c r="B103" s="24" t="s">
        <v>42</v>
      </c>
      <c r="C103" s="142">
        <v>1958</v>
      </c>
      <c r="D103" s="47"/>
      <c r="E103" s="22">
        <v>837.7</v>
      </c>
      <c r="F103" s="45">
        <v>678.9</v>
      </c>
      <c r="G103" s="42">
        <f t="shared" si="31"/>
        <v>1500000</v>
      </c>
      <c r="H103" s="35">
        <v>0</v>
      </c>
      <c r="I103" s="35"/>
      <c r="J103" s="35">
        <v>0</v>
      </c>
      <c r="K103" s="23">
        <v>1500000</v>
      </c>
      <c r="L103" s="23"/>
      <c r="M103" s="35">
        <v>0</v>
      </c>
      <c r="N103" s="35"/>
      <c r="O103" s="35">
        <v>0</v>
      </c>
      <c r="P103" s="35"/>
      <c r="Q103" s="35">
        <v>0</v>
      </c>
      <c r="R103" s="35"/>
      <c r="S103" s="35">
        <v>0</v>
      </c>
      <c r="T103" s="35">
        <v>0</v>
      </c>
      <c r="U103" s="35">
        <v>0</v>
      </c>
      <c r="V103" s="23">
        <v>1335000</v>
      </c>
      <c r="W103" s="42">
        <v>165000</v>
      </c>
      <c r="X103" s="165">
        <v>2014</v>
      </c>
      <c r="Y103" s="165">
        <v>2014</v>
      </c>
      <c r="Z103" s="155"/>
      <c r="AA103" s="155"/>
    </row>
    <row r="104" spans="1:27" s="118" customFormat="1" ht="18" customHeight="1" x14ac:dyDescent="0.25">
      <c r="A104" s="165">
        <f t="shared" si="32"/>
        <v>70</v>
      </c>
      <c r="B104" s="24" t="s">
        <v>43</v>
      </c>
      <c r="C104" s="142">
        <v>1980</v>
      </c>
      <c r="D104" s="47"/>
      <c r="E104" s="22">
        <v>2681.6</v>
      </c>
      <c r="F104" s="45">
        <v>2585.8000000000002</v>
      </c>
      <c r="G104" s="42">
        <f t="shared" si="31"/>
        <v>986700</v>
      </c>
      <c r="H104" s="23">
        <v>986700</v>
      </c>
      <c r="I104" s="23"/>
      <c r="J104" s="35">
        <v>0</v>
      </c>
      <c r="K104" s="35">
        <v>0</v>
      </c>
      <c r="L104" s="35"/>
      <c r="M104" s="35">
        <v>0</v>
      </c>
      <c r="N104" s="35"/>
      <c r="O104" s="35">
        <v>0</v>
      </c>
      <c r="P104" s="35"/>
      <c r="Q104" s="35">
        <v>0</v>
      </c>
      <c r="R104" s="35"/>
      <c r="S104" s="35">
        <v>0</v>
      </c>
      <c r="T104" s="35">
        <v>0</v>
      </c>
      <c r="U104" s="35">
        <v>0</v>
      </c>
      <c r="V104" s="23">
        <v>888000</v>
      </c>
      <c r="W104" s="42">
        <v>98700</v>
      </c>
      <c r="X104" s="165">
        <v>2014</v>
      </c>
      <c r="Y104" s="165">
        <v>2014</v>
      </c>
      <c r="Z104" s="155"/>
      <c r="AA104" s="155"/>
    </row>
    <row r="105" spans="1:27" s="118" customFormat="1" ht="18" customHeight="1" x14ac:dyDescent="0.25">
      <c r="A105" s="165">
        <f t="shared" si="32"/>
        <v>71</v>
      </c>
      <c r="B105" s="24" t="s">
        <v>443</v>
      </c>
      <c r="C105" s="142">
        <v>1973</v>
      </c>
      <c r="D105" s="47"/>
      <c r="E105" s="22">
        <v>5787.7</v>
      </c>
      <c r="F105" s="45">
        <v>5764.6</v>
      </c>
      <c r="G105" s="42">
        <f t="shared" si="31"/>
        <v>5904039.5</v>
      </c>
      <c r="H105" s="35">
        <v>0</v>
      </c>
      <c r="I105" s="35"/>
      <c r="J105" s="35">
        <v>0</v>
      </c>
      <c r="K105" s="23">
        <v>5904039.5</v>
      </c>
      <c r="L105" s="23"/>
      <c r="M105" s="35">
        <v>0</v>
      </c>
      <c r="N105" s="35"/>
      <c r="O105" s="35">
        <v>0</v>
      </c>
      <c r="P105" s="35"/>
      <c r="Q105" s="35">
        <v>0</v>
      </c>
      <c r="R105" s="35"/>
      <c r="S105" s="35">
        <v>0</v>
      </c>
      <c r="T105" s="35">
        <v>0</v>
      </c>
      <c r="U105" s="35">
        <v>0</v>
      </c>
      <c r="V105" s="23">
        <v>5904039.5</v>
      </c>
      <c r="W105" s="42">
        <v>0</v>
      </c>
      <c r="X105" s="165">
        <v>2014</v>
      </c>
      <c r="Y105" s="165">
        <v>2014</v>
      </c>
      <c r="Z105" s="155"/>
      <c r="AA105" s="155"/>
    </row>
    <row r="106" spans="1:27" s="118" customFormat="1" ht="18" customHeight="1" x14ac:dyDescent="0.25">
      <c r="A106" s="165">
        <f t="shared" si="32"/>
        <v>72</v>
      </c>
      <c r="B106" s="24" t="s">
        <v>437</v>
      </c>
      <c r="C106" s="142">
        <v>1967</v>
      </c>
      <c r="D106" s="47"/>
      <c r="E106" s="22">
        <v>2753.5</v>
      </c>
      <c r="F106" s="45">
        <v>2723</v>
      </c>
      <c r="G106" s="42">
        <f t="shared" si="31"/>
        <v>5834521.5499999998</v>
      </c>
      <c r="H106" s="35">
        <v>0</v>
      </c>
      <c r="I106" s="35"/>
      <c r="J106" s="35">
        <v>0</v>
      </c>
      <c r="K106" s="23">
        <v>5834521.5499999998</v>
      </c>
      <c r="L106" s="23"/>
      <c r="M106" s="35">
        <v>0</v>
      </c>
      <c r="N106" s="35"/>
      <c r="O106" s="35">
        <v>0</v>
      </c>
      <c r="P106" s="35"/>
      <c r="Q106" s="35">
        <v>0</v>
      </c>
      <c r="R106" s="35"/>
      <c r="S106" s="35">
        <v>0</v>
      </c>
      <c r="T106" s="35">
        <v>0</v>
      </c>
      <c r="U106" s="35">
        <v>0</v>
      </c>
      <c r="V106" s="23">
        <v>5834521.5499999998</v>
      </c>
      <c r="W106" s="42">
        <v>0</v>
      </c>
      <c r="X106" s="165">
        <v>2014</v>
      </c>
      <c r="Y106" s="165">
        <v>2014</v>
      </c>
      <c r="Z106" s="155"/>
      <c r="AA106" s="155"/>
    </row>
    <row r="107" spans="1:27" s="118" customFormat="1" ht="18" customHeight="1" x14ac:dyDescent="0.25">
      <c r="A107" s="165">
        <f t="shared" si="32"/>
        <v>73</v>
      </c>
      <c r="B107" s="24" t="s">
        <v>441</v>
      </c>
      <c r="C107" s="142">
        <v>1984</v>
      </c>
      <c r="D107" s="47"/>
      <c r="E107" s="22">
        <v>3843.9</v>
      </c>
      <c r="F107" s="45">
        <v>3797.6</v>
      </c>
      <c r="G107" s="42">
        <f t="shared" si="31"/>
        <v>3129213.05</v>
      </c>
      <c r="H107" s="35">
        <v>0</v>
      </c>
      <c r="I107" s="35"/>
      <c r="J107" s="35">
        <v>0</v>
      </c>
      <c r="K107" s="23">
        <v>3129213.05</v>
      </c>
      <c r="L107" s="23"/>
      <c r="M107" s="35">
        <v>0</v>
      </c>
      <c r="N107" s="35"/>
      <c r="O107" s="35">
        <v>0</v>
      </c>
      <c r="P107" s="35"/>
      <c r="Q107" s="35">
        <v>0</v>
      </c>
      <c r="R107" s="35"/>
      <c r="S107" s="35">
        <v>0</v>
      </c>
      <c r="T107" s="35">
        <v>0</v>
      </c>
      <c r="U107" s="35">
        <v>0</v>
      </c>
      <c r="V107" s="23">
        <v>3129213.05</v>
      </c>
      <c r="W107" s="42">
        <v>0</v>
      </c>
      <c r="X107" s="165">
        <v>2014</v>
      </c>
      <c r="Y107" s="165">
        <v>2014</v>
      </c>
      <c r="Z107" s="155"/>
      <c r="AA107" s="155"/>
    </row>
    <row r="108" spans="1:27" s="118" customFormat="1" ht="18" customHeight="1" x14ac:dyDescent="0.25">
      <c r="A108" s="165">
        <f t="shared" si="32"/>
        <v>74</v>
      </c>
      <c r="B108" s="24" t="s">
        <v>442</v>
      </c>
      <c r="C108" s="142">
        <v>1985</v>
      </c>
      <c r="D108" s="47"/>
      <c r="E108" s="45">
        <v>7550.1</v>
      </c>
      <c r="F108" s="45">
        <v>7504.2</v>
      </c>
      <c r="G108" s="42">
        <f t="shared" si="31"/>
        <v>1631000</v>
      </c>
      <c r="H108" s="23">
        <v>1631000</v>
      </c>
      <c r="I108" s="23"/>
      <c r="J108" s="35">
        <v>0</v>
      </c>
      <c r="K108" s="35">
        <v>0</v>
      </c>
      <c r="L108" s="35"/>
      <c r="M108" s="35">
        <v>0</v>
      </c>
      <c r="N108" s="35"/>
      <c r="O108" s="35">
        <v>0</v>
      </c>
      <c r="P108" s="35"/>
      <c r="Q108" s="35">
        <v>0</v>
      </c>
      <c r="R108" s="35"/>
      <c r="S108" s="35">
        <v>0</v>
      </c>
      <c r="T108" s="35">
        <v>0</v>
      </c>
      <c r="U108" s="35">
        <v>0</v>
      </c>
      <c r="V108" s="23">
        <v>1451600</v>
      </c>
      <c r="W108" s="42">
        <v>179400</v>
      </c>
      <c r="X108" s="165">
        <v>2014</v>
      </c>
      <c r="Y108" s="165">
        <v>2014</v>
      </c>
      <c r="Z108" s="155"/>
      <c r="AA108" s="155"/>
    </row>
    <row r="109" spans="1:27" s="118" customFormat="1" ht="18" customHeight="1" x14ac:dyDescent="0.25">
      <c r="A109" s="165">
        <f t="shared" si="32"/>
        <v>75</v>
      </c>
      <c r="B109" s="24" t="s">
        <v>44</v>
      </c>
      <c r="C109" s="142">
        <v>1949</v>
      </c>
      <c r="D109" s="47"/>
      <c r="E109" s="22">
        <v>698.2</v>
      </c>
      <c r="F109" s="45">
        <v>604</v>
      </c>
      <c r="G109" s="42">
        <f t="shared" si="31"/>
        <v>2660626.5</v>
      </c>
      <c r="H109" s="35">
        <v>0</v>
      </c>
      <c r="I109" s="35"/>
      <c r="J109" s="35">
        <v>0</v>
      </c>
      <c r="K109" s="23">
        <v>2660626.5</v>
      </c>
      <c r="L109" s="23"/>
      <c r="M109" s="35">
        <v>0</v>
      </c>
      <c r="N109" s="35"/>
      <c r="O109" s="35">
        <v>0</v>
      </c>
      <c r="P109" s="35"/>
      <c r="Q109" s="35">
        <v>0</v>
      </c>
      <c r="R109" s="35"/>
      <c r="S109" s="35">
        <v>0</v>
      </c>
      <c r="T109" s="35">
        <v>0</v>
      </c>
      <c r="U109" s="35">
        <v>0</v>
      </c>
      <c r="V109" s="23">
        <v>2660626.5</v>
      </c>
      <c r="W109" s="42">
        <v>0</v>
      </c>
      <c r="X109" s="165">
        <v>2014</v>
      </c>
      <c r="Y109" s="165">
        <v>2014</v>
      </c>
      <c r="Z109" s="155"/>
      <c r="AA109" s="155"/>
    </row>
    <row r="110" spans="1:27" s="118" customFormat="1" ht="18" customHeight="1" x14ac:dyDescent="0.25">
      <c r="A110" s="165">
        <f t="shared" si="32"/>
        <v>76</v>
      </c>
      <c r="B110" s="24" t="s">
        <v>45</v>
      </c>
      <c r="C110" s="142">
        <v>1957</v>
      </c>
      <c r="D110" s="47"/>
      <c r="E110" s="22">
        <v>3330.1</v>
      </c>
      <c r="F110" s="45">
        <v>2556.6</v>
      </c>
      <c r="G110" s="42">
        <f t="shared" si="31"/>
        <v>5041259.28</v>
      </c>
      <c r="H110" s="35">
        <v>0</v>
      </c>
      <c r="I110" s="35"/>
      <c r="J110" s="35">
        <v>0</v>
      </c>
      <c r="K110" s="23">
        <v>5041259.28</v>
      </c>
      <c r="L110" s="23"/>
      <c r="M110" s="35">
        <v>0</v>
      </c>
      <c r="N110" s="35"/>
      <c r="O110" s="35">
        <v>0</v>
      </c>
      <c r="P110" s="35"/>
      <c r="Q110" s="35">
        <v>0</v>
      </c>
      <c r="R110" s="35"/>
      <c r="S110" s="35">
        <v>0</v>
      </c>
      <c r="T110" s="35">
        <v>0</v>
      </c>
      <c r="U110" s="35">
        <v>0</v>
      </c>
      <c r="V110" s="23">
        <v>5041259.28</v>
      </c>
      <c r="W110" s="42">
        <v>0</v>
      </c>
      <c r="X110" s="165">
        <v>2014</v>
      </c>
      <c r="Y110" s="165">
        <v>2014</v>
      </c>
      <c r="Z110" s="155"/>
      <c r="AA110" s="155"/>
    </row>
    <row r="111" spans="1:27" s="118" customFormat="1" ht="18" customHeight="1" x14ac:dyDescent="0.25">
      <c r="A111" s="165">
        <f t="shared" si="32"/>
        <v>77</v>
      </c>
      <c r="B111" s="24" t="s">
        <v>46</v>
      </c>
      <c r="C111" s="142">
        <v>1988</v>
      </c>
      <c r="D111" s="47"/>
      <c r="E111" s="22">
        <v>2956.8</v>
      </c>
      <c r="F111" s="45">
        <v>2667.7</v>
      </c>
      <c r="G111" s="42">
        <f t="shared" si="31"/>
        <v>1500000</v>
      </c>
      <c r="H111" s="23">
        <v>1500000</v>
      </c>
      <c r="I111" s="23"/>
      <c r="J111" s="35">
        <v>0</v>
      </c>
      <c r="K111" s="35">
        <v>0</v>
      </c>
      <c r="L111" s="35"/>
      <c r="M111" s="35">
        <v>0</v>
      </c>
      <c r="N111" s="35"/>
      <c r="O111" s="35">
        <v>0</v>
      </c>
      <c r="P111" s="35"/>
      <c r="Q111" s="35">
        <v>0</v>
      </c>
      <c r="R111" s="35"/>
      <c r="S111" s="35">
        <v>0</v>
      </c>
      <c r="T111" s="35">
        <v>0</v>
      </c>
      <c r="U111" s="35">
        <v>0</v>
      </c>
      <c r="V111" s="23">
        <v>1335000</v>
      </c>
      <c r="W111" s="42">
        <v>165000</v>
      </c>
      <c r="X111" s="165">
        <v>2014</v>
      </c>
      <c r="Y111" s="165">
        <v>2014</v>
      </c>
      <c r="Z111" s="155"/>
      <c r="AA111" s="155"/>
    </row>
    <row r="112" spans="1:27" s="118" customFormat="1" ht="18" customHeight="1" x14ac:dyDescent="0.25">
      <c r="A112" s="165">
        <f t="shared" si="32"/>
        <v>78</v>
      </c>
      <c r="B112" s="24" t="s">
        <v>47</v>
      </c>
      <c r="C112" s="142">
        <v>1970</v>
      </c>
      <c r="D112" s="47"/>
      <c r="E112" s="22">
        <v>4475.8</v>
      </c>
      <c r="F112" s="45">
        <v>3821.1</v>
      </c>
      <c r="G112" s="42">
        <f t="shared" si="31"/>
        <v>3456878.97</v>
      </c>
      <c r="H112" s="35">
        <v>0</v>
      </c>
      <c r="I112" s="35"/>
      <c r="J112" s="35">
        <v>0</v>
      </c>
      <c r="K112" s="23">
        <v>3456878.97</v>
      </c>
      <c r="L112" s="23"/>
      <c r="M112" s="35">
        <v>0</v>
      </c>
      <c r="N112" s="35"/>
      <c r="O112" s="35">
        <v>0</v>
      </c>
      <c r="P112" s="35"/>
      <c r="Q112" s="35">
        <v>0</v>
      </c>
      <c r="R112" s="35"/>
      <c r="S112" s="35">
        <v>0</v>
      </c>
      <c r="T112" s="35">
        <v>0</v>
      </c>
      <c r="U112" s="35">
        <v>0</v>
      </c>
      <c r="V112" s="23">
        <v>3456878.97</v>
      </c>
      <c r="W112" s="42">
        <v>0</v>
      </c>
      <c r="X112" s="165">
        <v>2014</v>
      </c>
      <c r="Y112" s="165">
        <v>2014</v>
      </c>
      <c r="Z112" s="155"/>
      <c r="AA112" s="155"/>
    </row>
    <row r="113" spans="1:27" s="118" customFormat="1" ht="18" customHeight="1" x14ac:dyDescent="0.25">
      <c r="A113" s="165">
        <f t="shared" si="32"/>
        <v>79</v>
      </c>
      <c r="B113" s="24" t="s">
        <v>48</v>
      </c>
      <c r="C113" s="142">
        <v>1968</v>
      </c>
      <c r="D113" s="47"/>
      <c r="E113" s="22">
        <v>3011.8</v>
      </c>
      <c r="F113" s="45">
        <v>2715.9</v>
      </c>
      <c r="G113" s="42">
        <f t="shared" si="31"/>
        <v>4060857.98</v>
      </c>
      <c r="H113" s="35">
        <v>0</v>
      </c>
      <c r="I113" s="35"/>
      <c r="J113" s="35">
        <v>0</v>
      </c>
      <c r="K113" s="23">
        <v>4060857.98</v>
      </c>
      <c r="L113" s="23"/>
      <c r="M113" s="35">
        <v>0</v>
      </c>
      <c r="N113" s="35"/>
      <c r="O113" s="35">
        <v>0</v>
      </c>
      <c r="P113" s="35"/>
      <c r="Q113" s="35">
        <v>0</v>
      </c>
      <c r="R113" s="35"/>
      <c r="S113" s="35">
        <v>0</v>
      </c>
      <c r="T113" s="35">
        <v>0</v>
      </c>
      <c r="U113" s="35">
        <v>0</v>
      </c>
      <c r="V113" s="23">
        <v>4060857.98</v>
      </c>
      <c r="W113" s="42">
        <v>0</v>
      </c>
      <c r="X113" s="165">
        <v>2014</v>
      </c>
      <c r="Y113" s="165">
        <v>2014</v>
      </c>
      <c r="Z113" s="155"/>
      <c r="AA113" s="155"/>
    </row>
    <row r="114" spans="1:27" s="118" customFormat="1" ht="18" customHeight="1" x14ac:dyDescent="0.25">
      <c r="A114" s="165">
        <f t="shared" si="32"/>
        <v>80</v>
      </c>
      <c r="B114" s="24" t="s">
        <v>49</v>
      </c>
      <c r="C114" s="142">
        <v>1967</v>
      </c>
      <c r="D114" s="47"/>
      <c r="E114" s="22">
        <v>4932.7</v>
      </c>
      <c r="F114" s="45">
        <v>4508.1000000000004</v>
      </c>
      <c r="G114" s="42">
        <f t="shared" si="31"/>
        <v>4907686</v>
      </c>
      <c r="H114" s="35">
        <v>0</v>
      </c>
      <c r="I114" s="35"/>
      <c r="J114" s="35">
        <v>0</v>
      </c>
      <c r="K114" s="23">
        <v>4907686</v>
      </c>
      <c r="L114" s="23"/>
      <c r="M114" s="35">
        <v>0</v>
      </c>
      <c r="N114" s="35"/>
      <c r="O114" s="35">
        <v>0</v>
      </c>
      <c r="P114" s="35"/>
      <c r="Q114" s="35">
        <v>0</v>
      </c>
      <c r="R114" s="35"/>
      <c r="S114" s="35">
        <v>0</v>
      </c>
      <c r="T114" s="35">
        <v>0</v>
      </c>
      <c r="U114" s="35">
        <v>0</v>
      </c>
      <c r="V114" s="23">
        <v>4907686</v>
      </c>
      <c r="W114" s="42">
        <v>0</v>
      </c>
      <c r="X114" s="165">
        <v>2014</v>
      </c>
      <c r="Y114" s="165">
        <v>2014</v>
      </c>
      <c r="Z114" s="155"/>
      <c r="AA114" s="155"/>
    </row>
    <row r="115" spans="1:27" s="118" customFormat="1" ht="18" customHeight="1" x14ac:dyDescent="0.25">
      <c r="A115" s="165">
        <f t="shared" si="32"/>
        <v>81</v>
      </c>
      <c r="B115" s="24" t="s">
        <v>50</v>
      </c>
      <c r="C115" s="142">
        <v>1957</v>
      </c>
      <c r="D115" s="47"/>
      <c r="E115" s="22">
        <v>3544.6</v>
      </c>
      <c r="F115" s="45">
        <v>2623.7</v>
      </c>
      <c r="G115" s="42">
        <f t="shared" si="31"/>
        <v>2568711.2000000002</v>
      </c>
      <c r="H115" s="23">
        <v>2568711.2000000002</v>
      </c>
      <c r="I115" s="23"/>
      <c r="J115" s="35">
        <v>0</v>
      </c>
      <c r="K115" s="35">
        <v>0</v>
      </c>
      <c r="L115" s="35"/>
      <c r="M115" s="35">
        <v>0</v>
      </c>
      <c r="N115" s="35"/>
      <c r="O115" s="35">
        <v>0</v>
      </c>
      <c r="P115" s="35"/>
      <c r="Q115" s="35">
        <v>0</v>
      </c>
      <c r="R115" s="35"/>
      <c r="S115" s="35">
        <v>0</v>
      </c>
      <c r="T115" s="35">
        <v>0</v>
      </c>
      <c r="U115" s="35">
        <v>0</v>
      </c>
      <c r="V115" s="23">
        <v>2568711.2000000002</v>
      </c>
      <c r="W115" s="42">
        <v>0</v>
      </c>
      <c r="X115" s="165">
        <v>2014</v>
      </c>
      <c r="Y115" s="165">
        <v>2014</v>
      </c>
      <c r="Z115" s="155"/>
      <c r="AA115" s="155"/>
    </row>
    <row r="116" spans="1:27" s="118" customFormat="1" ht="18" customHeight="1" x14ac:dyDescent="0.25">
      <c r="A116" s="165">
        <f t="shared" si="32"/>
        <v>82</v>
      </c>
      <c r="B116" s="24" t="s">
        <v>52</v>
      </c>
      <c r="C116" s="142">
        <v>1958</v>
      </c>
      <c r="D116" s="47"/>
      <c r="E116" s="22">
        <v>1747.8</v>
      </c>
      <c r="F116" s="45">
        <v>1272.5999999999999</v>
      </c>
      <c r="G116" s="42">
        <f t="shared" si="31"/>
        <v>3787035.7</v>
      </c>
      <c r="H116" s="35">
        <v>0</v>
      </c>
      <c r="I116" s="35"/>
      <c r="J116" s="35">
        <v>0</v>
      </c>
      <c r="K116" s="23">
        <v>3787035.7</v>
      </c>
      <c r="L116" s="23"/>
      <c r="M116" s="35">
        <v>0</v>
      </c>
      <c r="N116" s="35"/>
      <c r="O116" s="35">
        <v>0</v>
      </c>
      <c r="P116" s="35"/>
      <c r="Q116" s="35">
        <v>0</v>
      </c>
      <c r="R116" s="35"/>
      <c r="S116" s="35">
        <v>0</v>
      </c>
      <c r="T116" s="35">
        <v>0</v>
      </c>
      <c r="U116" s="35">
        <v>0</v>
      </c>
      <c r="V116" s="23">
        <v>3787035.7</v>
      </c>
      <c r="W116" s="42">
        <v>0</v>
      </c>
      <c r="X116" s="165">
        <v>2014</v>
      </c>
      <c r="Y116" s="165">
        <v>2014</v>
      </c>
      <c r="Z116" s="155"/>
      <c r="AA116" s="155"/>
    </row>
    <row r="117" spans="1:27" s="118" customFormat="1" ht="18" customHeight="1" x14ac:dyDescent="0.25">
      <c r="A117" s="165">
        <f t="shared" si="32"/>
        <v>83</v>
      </c>
      <c r="B117" s="24" t="s">
        <v>51</v>
      </c>
      <c r="C117" s="142">
        <v>1957</v>
      </c>
      <c r="D117" s="47"/>
      <c r="E117" s="22">
        <v>1042.0999999999999</v>
      </c>
      <c r="F117" s="45">
        <v>775.6</v>
      </c>
      <c r="G117" s="42">
        <f t="shared" si="31"/>
        <v>5465440.0999999996</v>
      </c>
      <c r="H117" s="35">
        <v>0</v>
      </c>
      <c r="I117" s="35"/>
      <c r="J117" s="35">
        <v>0</v>
      </c>
      <c r="K117" s="46">
        <v>5465440.0999999996</v>
      </c>
      <c r="L117" s="46"/>
      <c r="M117" s="35">
        <v>0</v>
      </c>
      <c r="N117" s="35"/>
      <c r="O117" s="35">
        <v>0</v>
      </c>
      <c r="P117" s="35"/>
      <c r="Q117" s="35">
        <v>0</v>
      </c>
      <c r="R117" s="35"/>
      <c r="S117" s="35">
        <v>0</v>
      </c>
      <c r="T117" s="35">
        <v>0</v>
      </c>
      <c r="U117" s="35">
        <v>0</v>
      </c>
      <c r="V117" s="23">
        <v>5465440.0999999996</v>
      </c>
      <c r="W117" s="42">
        <v>0</v>
      </c>
      <c r="X117" s="165">
        <v>2014</v>
      </c>
      <c r="Y117" s="165">
        <v>2014</v>
      </c>
      <c r="Z117" s="155"/>
      <c r="AA117" s="155"/>
    </row>
    <row r="118" spans="1:27" s="118" customFormat="1" ht="18" customHeight="1" x14ac:dyDescent="0.25">
      <c r="A118" s="165">
        <f t="shared" si="32"/>
        <v>84</v>
      </c>
      <c r="B118" s="24" t="s">
        <v>89</v>
      </c>
      <c r="C118" s="142">
        <v>1958</v>
      </c>
      <c r="D118" s="47"/>
      <c r="E118" s="22">
        <v>2925.7</v>
      </c>
      <c r="F118" s="45">
        <v>2770.2</v>
      </c>
      <c r="G118" s="42">
        <f t="shared" si="31"/>
        <v>4040811.5</v>
      </c>
      <c r="H118" s="35">
        <v>0</v>
      </c>
      <c r="I118" s="35"/>
      <c r="J118" s="35">
        <v>0</v>
      </c>
      <c r="K118" s="23">
        <v>4040811.5</v>
      </c>
      <c r="L118" s="23"/>
      <c r="M118" s="35">
        <v>0</v>
      </c>
      <c r="N118" s="35"/>
      <c r="O118" s="35">
        <v>0</v>
      </c>
      <c r="P118" s="35"/>
      <c r="Q118" s="35">
        <v>0</v>
      </c>
      <c r="R118" s="35"/>
      <c r="S118" s="35">
        <v>0</v>
      </c>
      <c r="T118" s="35">
        <v>0</v>
      </c>
      <c r="U118" s="35">
        <v>0</v>
      </c>
      <c r="V118" s="23">
        <v>4040811.5</v>
      </c>
      <c r="W118" s="42">
        <v>0</v>
      </c>
      <c r="X118" s="165">
        <v>2014</v>
      </c>
      <c r="Y118" s="165">
        <v>2014</v>
      </c>
      <c r="Z118" s="155"/>
      <c r="AA118" s="155"/>
    </row>
    <row r="119" spans="1:27" s="118" customFormat="1" ht="18" customHeight="1" x14ac:dyDescent="0.25">
      <c r="A119" s="165">
        <f t="shared" si="32"/>
        <v>85</v>
      </c>
      <c r="B119" s="24" t="s">
        <v>90</v>
      </c>
      <c r="C119" s="142">
        <v>1972</v>
      </c>
      <c r="D119" s="47"/>
      <c r="E119" s="22">
        <v>7877.8</v>
      </c>
      <c r="F119" s="45">
        <v>7314.8</v>
      </c>
      <c r="G119" s="42">
        <f t="shared" ref="G119:G154" si="33">SUM(H119:S119)</f>
        <v>11035310</v>
      </c>
      <c r="H119" s="35">
        <v>0</v>
      </c>
      <c r="I119" s="35"/>
      <c r="J119" s="35">
        <v>0</v>
      </c>
      <c r="K119" s="23">
        <v>11035310</v>
      </c>
      <c r="L119" s="23"/>
      <c r="M119" s="35">
        <v>0</v>
      </c>
      <c r="N119" s="35"/>
      <c r="O119" s="35">
        <v>0</v>
      </c>
      <c r="P119" s="35"/>
      <c r="Q119" s="35">
        <v>0</v>
      </c>
      <c r="R119" s="35"/>
      <c r="S119" s="35">
        <v>0</v>
      </c>
      <c r="T119" s="35">
        <v>0</v>
      </c>
      <c r="U119" s="35">
        <v>0</v>
      </c>
      <c r="V119" s="23">
        <v>11035310</v>
      </c>
      <c r="W119" s="42">
        <v>0</v>
      </c>
      <c r="X119" s="165">
        <v>2014</v>
      </c>
      <c r="Y119" s="165">
        <v>2014</v>
      </c>
      <c r="Z119" s="155"/>
      <c r="AA119" s="155"/>
    </row>
    <row r="120" spans="1:27" s="118" customFormat="1" ht="18" customHeight="1" x14ac:dyDescent="0.25">
      <c r="A120" s="165">
        <f t="shared" si="32"/>
        <v>86</v>
      </c>
      <c r="B120" s="24" t="s">
        <v>91</v>
      </c>
      <c r="C120" s="142">
        <v>1968</v>
      </c>
      <c r="D120" s="47"/>
      <c r="E120" s="22">
        <v>3014.6</v>
      </c>
      <c r="F120" s="45">
        <v>2655.3</v>
      </c>
      <c r="G120" s="42">
        <f t="shared" si="33"/>
        <v>3502053</v>
      </c>
      <c r="H120" s="35">
        <v>0</v>
      </c>
      <c r="I120" s="35"/>
      <c r="J120" s="35">
        <v>0</v>
      </c>
      <c r="K120" s="23">
        <v>3502053</v>
      </c>
      <c r="L120" s="23"/>
      <c r="M120" s="35">
        <v>0</v>
      </c>
      <c r="N120" s="35"/>
      <c r="O120" s="35">
        <v>0</v>
      </c>
      <c r="P120" s="35"/>
      <c r="Q120" s="35">
        <v>0</v>
      </c>
      <c r="R120" s="35"/>
      <c r="S120" s="35">
        <v>0</v>
      </c>
      <c r="T120" s="35">
        <v>0</v>
      </c>
      <c r="U120" s="35">
        <v>0</v>
      </c>
      <c r="V120" s="23">
        <v>3502053</v>
      </c>
      <c r="W120" s="42">
        <v>0</v>
      </c>
      <c r="X120" s="165">
        <v>2014</v>
      </c>
      <c r="Y120" s="165">
        <v>2014</v>
      </c>
      <c r="Z120" s="155"/>
      <c r="AA120" s="155"/>
    </row>
    <row r="121" spans="1:27" s="118" customFormat="1" ht="18" customHeight="1" x14ac:dyDescent="0.25">
      <c r="A121" s="165">
        <f t="shared" si="32"/>
        <v>87</v>
      </c>
      <c r="B121" s="24" t="s">
        <v>113</v>
      </c>
      <c r="C121" s="142">
        <v>1972</v>
      </c>
      <c r="D121" s="47"/>
      <c r="E121" s="22">
        <v>5687.9</v>
      </c>
      <c r="F121" s="45">
        <v>5670.9</v>
      </c>
      <c r="G121" s="42">
        <f t="shared" si="33"/>
        <v>4250585.45</v>
      </c>
      <c r="H121" s="35">
        <v>0</v>
      </c>
      <c r="I121" s="35"/>
      <c r="J121" s="35">
        <v>0</v>
      </c>
      <c r="K121" s="23">
        <v>4250585.45</v>
      </c>
      <c r="L121" s="23"/>
      <c r="M121" s="35">
        <v>0</v>
      </c>
      <c r="N121" s="35"/>
      <c r="O121" s="35">
        <v>0</v>
      </c>
      <c r="P121" s="35"/>
      <c r="Q121" s="35">
        <v>0</v>
      </c>
      <c r="R121" s="35"/>
      <c r="S121" s="35">
        <v>0</v>
      </c>
      <c r="T121" s="35">
        <v>0</v>
      </c>
      <c r="U121" s="35">
        <v>0</v>
      </c>
      <c r="V121" s="23">
        <v>4250585.45</v>
      </c>
      <c r="W121" s="42">
        <v>0</v>
      </c>
      <c r="X121" s="165">
        <v>2014</v>
      </c>
      <c r="Y121" s="165">
        <v>2014</v>
      </c>
      <c r="Z121" s="155"/>
      <c r="AA121" s="155"/>
    </row>
    <row r="122" spans="1:27" s="118" customFormat="1" ht="18" customHeight="1" x14ac:dyDescent="0.25">
      <c r="A122" s="165">
        <f t="shared" si="32"/>
        <v>88</v>
      </c>
      <c r="B122" s="24" t="s">
        <v>22</v>
      </c>
      <c r="C122" s="142">
        <v>1978</v>
      </c>
      <c r="D122" s="47"/>
      <c r="E122" s="22">
        <v>4228.6000000000004</v>
      </c>
      <c r="F122" s="45">
        <v>3854.1</v>
      </c>
      <c r="G122" s="42">
        <f t="shared" si="33"/>
        <v>1097990</v>
      </c>
      <c r="H122" s="23">
        <v>1097990</v>
      </c>
      <c r="I122" s="23"/>
      <c r="J122" s="35">
        <v>0</v>
      </c>
      <c r="K122" s="35">
        <v>0</v>
      </c>
      <c r="L122" s="35"/>
      <c r="M122" s="35">
        <v>0</v>
      </c>
      <c r="N122" s="35"/>
      <c r="O122" s="35">
        <v>0</v>
      </c>
      <c r="P122" s="35"/>
      <c r="Q122" s="35">
        <v>0</v>
      </c>
      <c r="R122" s="35"/>
      <c r="S122" s="35">
        <v>0</v>
      </c>
      <c r="T122" s="35">
        <v>0</v>
      </c>
      <c r="U122" s="35">
        <v>0</v>
      </c>
      <c r="V122" s="23">
        <v>1097990</v>
      </c>
      <c r="W122" s="42">
        <v>0</v>
      </c>
      <c r="X122" s="165">
        <v>2014</v>
      </c>
      <c r="Y122" s="165">
        <v>2014</v>
      </c>
      <c r="Z122" s="155"/>
      <c r="AA122" s="155"/>
    </row>
    <row r="123" spans="1:27" s="118" customFormat="1" ht="18" customHeight="1" x14ac:dyDescent="0.25">
      <c r="A123" s="165">
        <f t="shared" si="32"/>
        <v>89</v>
      </c>
      <c r="B123" s="24" t="s">
        <v>23</v>
      </c>
      <c r="C123" s="142">
        <v>1939</v>
      </c>
      <c r="D123" s="47"/>
      <c r="E123" s="22">
        <v>3324.9</v>
      </c>
      <c r="F123" s="45">
        <v>2434.4</v>
      </c>
      <c r="G123" s="42">
        <f t="shared" si="33"/>
        <v>8042489.7999999998</v>
      </c>
      <c r="H123" s="35">
        <v>0</v>
      </c>
      <c r="I123" s="35"/>
      <c r="J123" s="35">
        <v>0</v>
      </c>
      <c r="K123" s="23">
        <v>8042489.7999999998</v>
      </c>
      <c r="L123" s="23"/>
      <c r="M123" s="35">
        <v>0</v>
      </c>
      <c r="N123" s="35"/>
      <c r="O123" s="35">
        <v>0</v>
      </c>
      <c r="P123" s="35"/>
      <c r="Q123" s="35">
        <v>0</v>
      </c>
      <c r="R123" s="35"/>
      <c r="S123" s="35">
        <v>0</v>
      </c>
      <c r="T123" s="35">
        <v>0</v>
      </c>
      <c r="U123" s="35">
        <v>0</v>
      </c>
      <c r="V123" s="23">
        <v>8042489.7999999998</v>
      </c>
      <c r="W123" s="42">
        <v>0</v>
      </c>
      <c r="X123" s="165">
        <v>2014</v>
      </c>
      <c r="Y123" s="165">
        <v>2014</v>
      </c>
      <c r="Z123" s="155"/>
      <c r="AA123" s="155"/>
    </row>
    <row r="124" spans="1:27" s="118" customFormat="1" ht="18" customHeight="1" x14ac:dyDescent="0.25">
      <c r="A124" s="165">
        <f t="shared" si="32"/>
        <v>90</v>
      </c>
      <c r="B124" s="24" t="s">
        <v>440</v>
      </c>
      <c r="C124" s="142">
        <v>1958</v>
      </c>
      <c r="D124" s="47"/>
      <c r="E124" s="22">
        <v>5189.3</v>
      </c>
      <c r="F124" s="45">
        <v>3841.3</v>
      </c>
      <c r="G124" s="42">
        <f t="shared" si="33"/>
        <v>11947730.17</v>
      </c>
      <c r="H124" s="35">
        <v>0</v>
      </c>
      <c r="I124" s="35"/>
      <c r="J124" s="35">
        <v>0</v>
      </c>
      <c r="K124" s="23">
        <v>11947730.17</v>
      </c>
      <c r="L124" s="23"/>
      <c r="M124" s="35">
        <v>0</v>
      </c>
      <c r="N124" s="35"/>
      <c r="O124" s="35">
        <v>0</v>
      </c>
      <c r="P124" s="35"/>
      <c r="Q124" s="35">
        <v>0</v>
      </c>
      <c r="R124" s="35"/>
      <c r="S124" s="35">
        <v>0</v>
      </c>
      <c r="T124" s="35">
        <v>0</v>
      </c>
      <c r="U124" s="35">
        <v>0</v>
      </c>
      <c r="V124" s="23">
        <v>11947730.17</v>
      </c>
      <c r="W124" s="42">
        <v>0</v>
      </c>
      <c r="X124" s="165">
        <v>2014</v>
      </c>
      <c r="Y124" s="165">
        <v>2014</v>
      </c>
      <c r="Z124" s="155"/>
      <c r="AA124" s="155"/>
    </row>
    <row r="125" spans="1:27" s="118" customFormat="1" ht="18" customHeight="1" x14ac:dyDescent="0.25">
      <c r="A125" s="165">
        <f t="shared" si="32"/>
        <v>91</v>
      </c>
      <c r="B125" s="24" t="s">
        <v>444</v>
      </c>
      <c r="C125" s="142">
        <v>1960</v>
      </c>
      <c r="D125" s="47"/>
      <c r="E125" s="22">
        <v>3060.9</v>
      </c>
      <c r="F125" s="45">
        <v>2822.7</v>
      </c>
      <c r="G125" s="42">
        <f t="shared" si="33"/>
        <v>3000000</v>
      </c>
      <c r="H125" s="23">
        <v>3000000</v>
      </c>
      <c r="I125" s="23"/>
      <c r="J125" s="35">
        <v>0</v>
      </c>
      <c r="K125" s="35">
        <v>0</v>
      </c>
      <c r="L125" s="35"/>
      <c r="M125" s="35">
        <v>0</v>
      </c>
      <c r="N125" s="35"/>
      <c r="O125" s="35">
        <v>0</v>
      </c>
      <c r="P125" s="35"/>
      <c r="Q125" s="35">
        <v>0</v>
      </c>
      <c r="R125" s="35"/>
      <c r="S125" s="35">
        <v>0</v>
      </c>
      <c r="T125" s="35">
        <v>0</v>
      </c>
      <c r="U125" s="35">
        <v>0</v>
      </c>
      <c r="V125" s="23">
        <v>3000000</v>
      </c>
      <c r="W125" s="42">
        <v>0</v>
      </c>
      <c r="X125" s="165">
        <v>2014</v>
      </c>
      <c r="Y125" s="165">
        <v>2014</v>
      </c>
      <c r="Z125" s="155"/>
      <c r="AA125" s="155"/>
    </row>
    <row r="126" spans="1:27" s="118" customFormat="1" ht="18" customHeight="1" x14ac:dyDescent="0.25">
      <c r="A126" s="165">
        <f t="shared" si="32"/>
        <v>92</v>
      </c>
      <c r="B126" s="24" t="s">
        <v>402</v>
      </c>
      <c r="C126" s="142">
        <v>1981</v>
      </c>
      <c r="D126" s="47"/>
      <c r="E126" s="22">
        <v>2747.2</v>
      </c>
      <c r="F126" s="45">
        <v>2612.1999999999998</v>
      </c>
      <c r="G126" s="42">
        <f t="shared" si="33"/>
        <v>1279600</v>
      </c>
      <c r="H126" s="23">
        <v>1279600</v>
      </c>
      <c r="I126" s="23"/>
      <c r="J126" s="35">
        <v>0</v>
      </c>
      <c r="K126" s="35">
        <v>0</v>
      </c>
      <c r="L126" s="35"/>
      <c r="M126" s="35">
        <v>0</v>
      </c>
      <c r="N126" s="35"/>
      <c r="O126" s="35">
        <v>0</v>
      </c>
      <c r="P126" s="35"/>
      <c r="Q126" s="35">
        <v>0</v>
      </c>
      <c r="R126" s="35"/>
      <c r="S126" s="35">
        <v>0</v>
      </c>
      <c r="T126" s="35">
        <v>0</v>
      </c>
      <c r="U126" s="35">
        <v>0</v>
      </c>
      <c r="V126" s="23">
        <v>1138800</v>
      </c>
      <c r="W126" s="42">
        <v>140800</v>
      </c>
      <c r="X126" s="165">
        <v>2014</v>
      </c>
      <c r="Y126" s="165">
        <v>2014</v>
      </c>
      <c r="Z126" s="155"/>
      <c r="AA126" s="155"/>
    </row>
    <row r="127" spans="1:27" s="118" customFormat="1" ht="18" customHeight="1" x14ac:dyDescent="0.25">
      <c r="A127" s="165">
        <f t="shared" si="32"/>
        <v>93</v>
      </c>
      <c r="B127" s="24" t="s">
        <v>53</v>
      </c>
      <c r="C127" s="142">
        <v>1987</v>
      </c>
      <c r="D127" s="47"/>
      <c r="E127" s="22">
        <v>6374.4</v>
      </c>
      <c r="F127" s="45">
        <v>5568.1</v>
      </c>
      <c r="G127" s="42">
        <f t="shared" si="33"/>
        <v>5981800</v>
      </c>
      <c r="H127" s="35">
        <v>0</v>
      </c>
      <c r="I127" s="35"/>
      <c r="J127" s="23">
        <v>5981800</v>
      </c>
      <c r="K127" s="35">
        <v>0</v>
      </c>
      <c r="L127" s="35"/>
      <c r="M127" s="35">
        <v>0</v>
      </c>
      <c r="N127" s="35"/>
      <c r="O127" s="35">
        <v>0</v>
      </c>
      <c r="P127" s="35"/>
      <c r="Q127" s="35">
        <v>0</v>
      </c>
      <c r="R127" s="35"/>
      <c r="S127" s="35">
        <v>0</v>
      </c>
      <c r="T127" s="35">
        <v>0</v>
      </c>
      <c r="U127" s="35">
        <v>0</v>
      </c>
      <c r="V127" s="23">
        <v>5323800</v>
      </c>
      <c r="W127" s="42">
        <v>658000</v>
      </c>
      <c r="X127" s="165">
        <v>2014</v>
      </c>
      <c r="Y127" s="165">
        <v>2014</v>
      </c>
      <c r="Z127" s="155"/>
      <c r="AA127" s="155"/>
    </row>
    <row r="128" spans="1:27" s="118" customFormat="1" ht="18" customHeight="1" x14ac:dyDescent="0.25">
      <c r="A128" s="165">
        <f t="shared" si="32"/>
        <v>94</v>
      </c>
      <c r="B128" s="24" t="s">
        <v>55</v>
      </c>
      <c r="C128" s="142">
        <v>1993</v>
      </c>
      <c r="D128" s="47"/>
      <c r="E128" s="22">
        <v>4336.8999999999996</v>
      </c>
      <c r="F128" s="45">
        <v>3632.8</v>
      </c>
      <c r="G128" s="42">
        <f t="shared" si="33"/>
        <v>1984555.5</v>
      </c>
      <c r="H128" s="35">
        <v>0</v>
      </c>
      <c r="I128" s="35"/>
      <c r="J128" s="35">
        <v>0</v>
      </c>
      <c r="K128" s="23">
        <v>1984555.5</v>
      </c>
      <c r="L128" s="23"/>
      <c r="M128" s="35">
        <v>0</v>
      </c>
      <c r="N128" s="35"/>
      <c r="O128" s="35">
        <v>0</v>
      </c>
      <c r="P128" s="35"/>
      <c r="Q128" s="35">
        <v>0</v>
      </c>
      <c r="R128" s="35"/>
      <c r="S128" s="35">
        <v>0</v>
      </c>
      <c r="T128" s="35">
        <v>0</v>
      </c>
      <c r="U128" s="35">
        <v>0</v>
      </c>
      <c r="V128" s="23">
        <v>1984555.5</v>
      </c>
      <c r="W128" s="42">
        <v>0</v>
      </c>
      <c r="X128" s="165">
        <v>2014</v>
      </c>
      <c r="Y128" s="165">
        <v>2014</v>
      </c>
      <c r="Z128" s="155"/>
      <c r="AA128" s="155"/>
    </row>
    <row r="129" spans="1:27" s="118" customFormat="1" ht="18" customHeight="1" x14ac:dyDescent="0.25">
      <c r="A129" s="165">
        <f t="shared" si="32"/>
        <v>95</v>
      </c>
      <c r="B129" s="24" t="s">
        <v>56</v>
      </c>
      <c r="C129" s="142">
        <v>1961</v>
      </c>
      <c r="D129" s="47"/>
      <c r="E129" s="22">
        <v>1571.2</v>
      </c>
      <c r="F129" s="45">
        <v>1297.5</v>
      </c>
      <c r="G129" s="42">
        <f t="shared" si="33"/>
        <v>1500000</v>
      </c>
      <c r="H129" s="23">
        <v>1500000</v>
      </c>
      <c r="I129" s="23"/>
      <c r="J129" s="35">
        <v>0</v>
      </c>
      <c r="K129" s="35">
        <v>0</v>
      </c>
      <c r="L129" s="35"/>
      <c r="M129" s="35">
        <v>0</v>
      </c>
      <c r="N129" s="35"/>
      <c r="O129" s="35">
        <v>0</v>
      </c>
      <c r="P129" s="35"/>
      <c r="Q129" s="35">
        <v>0</v>
      </c>
      <c r="R129" s="35"/>
      <c r="S129" s="35">
        <v>0</v>
      </c>
      <c r="T129" s="35">
        <v>0</v>
      </c>
      <c r="U129" s="35">
        <v>0</v>
      </c>
      <c r="V129" s="23">
        <v>1500000</v>
      </c>
      <c r="W129" s="42">
        <v>0</v>
      </c>
      <c r="X129" s="165">
        <v>2014</v>
      </c>
      <c r="Y129" s="165">
        <v>2014</v>
      </c>
      <c r="Z129" s="155"/>
      <c r="AA129" s="155"/>
    </row>
    <row r="130" spans="1:27" s="118" customFormat="1" ht="18" customHeight="1" x14ac:dyDescent="0.25">
      <c r="A130" s="165">
        <f t="shared" si="32"/>
        <v>96</v>
      </c>
      <c r="B130" s="24" t="s">
        <v>436</v>
      </c>
      <c r="C130" s="142">
        <v>1981</v>
      </c>
      <c r="D130" s="47"/>
      <c r="E130" s="22">
        <v>11298.7</v>
      </c>
      <c r="F130" s="45">
        <v>11015</v>
      </c>
      <c r="G130" s="42">
        <f t="shared" si="33"/>
        <v>13400000</v>
      </c>
      <c r="H130" s="35">
        <v>0</v>
      </c>
      <c r="I130" s="35"/>
      <c r="J130" s="23">
        <v>13400000</v>
      </c>
      <c r="K130" s="35">
        <v>0</v>
      </c>
      <c r="L130" s="35"/>
      <c r="M130" s="35">
        <v>0</v>
      </c>
      <c r="N130" s="35"/>
      <c r="O130" s="35">
        <v>0</v>
      </c>
      <c r="P130" s="35"/>
      <c r="Q130" s="35">
        <v>0</v>
      </c>
      <c r="R130" s="35"/>
      <c r="S130" s="35">
        <v>0</v>
      </c>
      <c r="T130" s="35">
        <v>0</v>
      </c>
      <c r="U130" s="35">
        <v>0</v>
      </c>
      <c r="V130" s="23">
        <v>11926000</v>
      </c>
      <c r="W130" s="42">
        <v>1474000</v>
      </c>
      <c r="X130" s="165">
        <v>2014</v>
      </c>
      <c r="Y130" s="165">
        <v>2014</v>
      </c>
      <c r="Z130" s="155"/>
      <c r="AA130" s="155"/>
    </row>
    <row r="131" spans="1:27" s="118" customFormat="1" ht="18" customHeight="1" x14ac:dyDescent="0.25">
      <c r="A131" s="165">
        <f t="shared" si="32"/>
        <v>97</v>
      </c>
      <c r="B131" s="24" t="s">
        <v>140</v>
      </c>
      <c r="C131" s="142">
        <v>1967</v>
      </c>
      <c r="D131" s="47"/>
      <c r="E131" s="121">
        <v>3705.2</v>
      </c>
      <c r="F131" s="45">
        <v>3387.4</v>
      </c>
      <c r="G131" s="42">
        <f t="shared" si="33"/>
        <v>4131050</v>
      </c>
      <c r="H131" s="42">
        <v>0</v>
      </c>
      <c r="I131" s="42"/>
      <c r="J131" s="42">
        <v>0</v>
      </c>
      <c r="K131" s="42">
        <v>4131050</v>
      </c>
      <c r="L131" s="42"/>
      <c r="M131" s="42">
        <v>0</v>
      </c>
      <c r="N131" s="42"/>
      <c r="O131" s="124">
        <v>0</v>
      </c>
      <c r="P131" s="124"/>
      <c r="Q131" s="124">
        <v>0</v>
      </c>
      <c r="R131" s="124"/>
      <c r="S131" s="124">
        <v>0</v>
      </c>
      <c r="T131" s="35">
        <v>0</v>
      </c>
      <c r="U131" s="35">
        <v>0</v>
      </c>
      <c r="V131" s="35">
        <v>0</v>
      </c>
      <c r="W131" s="42">
        <f t="shared" ref="W131:W157" si="34">G131</f>
        <v>4131050</v>
      </c>
      <c r="X131" s="165">
        <v>2015</v>
      </c>
      <c r="Y131" s="165">
        <v>2015</v>
      </c>
      <c r="Z131" s="155"/>
      <c r="AA131" s="155"/>
    </row>
    <row r="132" spans="1:27" s="118" customFormat="1" ht="18" customHeight="1" x14ac:dyDescent="0.25">
      <c r="A132" s="165">
        <f t="shared" si="32"/>
        <v>98</v>
      </c>
      <c r="B132" s="24" t="s">
        <v>141</v>
      </c>
      <c r="C132" s="142">
        <v>1970</v>
      </c>
      <c r="D132" s="47"/>
      <c r="E132" s="121">
        <v>2849.7</v>
      </c>
      <c r="F132" s="45">
        <v>2400.1</v>
      </c>
      <c r="G132" s="42">
        <f t="shared" si="33"/>
        <v>777777</v>
      </c>
      <c r="H132" s="42">
        <v>777777</v>
      </c>
      <c r="I132" s="42"/>
      <c r="J132" s="42">
        <v>0</v>
      </c>
      <c r="K132" s="42">
        <v>0</v>
      </c>
      <c r="L132" s="42"/>
      <c r="M132" s="42">
        <v>0</v>
      </c>
      <c r="N132" s="42"/>
      <c r="O132" s="124">
        <v>0</v>
      </c>
      <c r="P132" s="124"/>
      <c r="Q132" s="124">
        <v>0</v>
      </c>
      <c r="R132" s="124"/>
      <c r="S132" s="124">
        <v>0</v>
      </c>
      <c r="T132" s="35">
        <v>0</v>
      </c>
      <c r="U132" s="35">
        <v>0</v>
      </c>
      <c r="V132" s="35">
        <v>0</v>
      </c>
      <c r="W132" s="42">
        <f t="shared" si="34"/>
        <v>777777</v>
      </c>
      <c r="X132" s="165">
        <v>2015</v>
      </c>
      <c r="Y132" s="165">
        <v>2015</v>
      </c>
      <c r="Z132" s="155"/>
      <c r="AA132" s="155"/>
    </row>
    <row r="133" spans="1:27" s="118" customFormat="1" ht="18" customHeight="1" x14ac:dyDescent="0.25">
      <c r="A133" s="165">
        <f t="shared" si="32"/>
        <v>99</v>
      </c>
      <c r="B133" s="24" t="s">
        <v>142</v>
      </c>
      <c r="C133" s="142">
        <v>1977</v>
      </c>
      <c r="D133" s="47"/>
      <c r="E133" s="121">
        <v>2318.1</v>
      </c>
      <c r="F133" s="45">
        <v>1990.4</v>
      </c>
      <c r="G133" s="42">
        <f t="shared" si="33"/>
        <v>625000</v>
      </c>
      <c r="H133" s="42">
        <v>625000</v>
      </c>
      <c r="I133" s="42"/>
      <c r="J133" s="42">
        <v>0</v>
      </c>
      <c r="K133" s="42">
        <v>0</v>
      </c>
      <c r="L133" s="42"/>
      <c r="M133" s="42">
        <v>0</v>
      </c>
      <c r="N133" s="42"/>
      <c r="O133" s="124">
        <v>0</v>
      </c>
      <c r="P133" s="124"/>
      <c r="Q133" s="124">
        <v>0</v>
      </c>
      <c r="R133" s="124"/>
      <c r="S133" s="124">
        <v>0</v>
      </c>
      <c r="T133" s="35">
        <v>0</v>
      </c>
      <c r="U133" s="35">
        <v>0</v>
      </c>
      <c r="V133" s="35">
        <v>0</v>
      </c>
      <c r="W133" s="42">
        <f t="shared" si="34"/>
        <v>625000</v>
      </c>
      <c r="X133" s="165">
        <v>2015</v>
      </c>
      <c r="Y133" s="165">
        <v>2015</v>
      </c>
      <c r="Z133" s="155"/>
      <c r="AA133" s="155"/>
    </row>
    <row r="134" spans="1:27" s="118" customFormat="1" ht="18" customHeight="1" x14ac:dyDescent="0.25">
      <c r="A134" s="165">
        <f t="shared" si="32"/>
        <v>100</v>
      </c>
      <c r="B134" s="24" t="s">
        <v>143</v>
      </c>
      <c r="C134" s="142">
        <v>1978</v>
      </c>
      <c r="D134" s="47"/>
      <c r="E134" s="121">
        <v>9323.5</v>
      </c>
      <c r="F134" s="45">
        <v>8063.9</v>
      </c>
      <c r="G134" s="42">
        <f t="shared" si="33"/>
        <v>8631685.9199999999</v>
      </c>
      <c r="H134" s="42">
        <v>0</v>
      </c>
      <c r="I134" s="42"/>
      <c r="J134" s="42">
        <v>8631685.9199999999</v>
      </c>
      <c r="K134" s="42">
        <v>0</v>
      </c>
      <c r="L134" s="42"/>
      <c r="M134" s="42">
        <v>0</v>
      </c>
      <c r="N134" s="42"/>
      <c r="O134" s="124">
        <v>0</v>
      </c>
      <c r="P134" s="124"/>
      <c r="Q134" s="124">
        <v>0</v>
      </c>
      <c r="R134" s="124"/>
      <c r="S134" s="124">
        <v>0</v>
      </c>
      <c r="T134" s="35">
        <v>0</v>
      </c>
      <c r="U134" s="35">
        <v>0</v>
      </c>
      <c r="V134" s="35">
        <v>0</v>
      </c>
      <c r="W134" s="42">
        <f t="shared" si="34"/>
        <v>8631685.9199999999</v>
      </c>
      <c r="X134" s="165">
        <v>2015</v>
      </c>
      <c r="Y134" s="165">
        <v>2015</v>
      </c>
      <c r="Z134" s="155"/>
      <c r="AA134" s="155"/>
    </row>
    <row r="135" spans="1:27" s="118" customFormat="1" ht="18" customHeight="1" x14ac:dyDescent="0.25">
      <c r="A135" s="165">
        <f t="shared" si="32"/>
        <v>101</v>
      </c>
      <c r="B135" s="24" t="s">
        <v>144</v>
      </c>
      <c r="C135" s="142">
        <v>1977</v>
      </c>
      <c r="D135" s="47"/>
      <c r="E135" s="121">
        <v>4527.1000000000004</v>
      </c>
      <c r="F135" s="45">
        <v>4510.5</v>
      </c>
      <c r="G135" s="42">
        <f t="shared" si="33"/>
        <v>5009235.3499999996</v>
      </c>
      <c r="H135" s="42">
        <v>0</v>
      </c>
      <c r="I135" s="42"/>
      <c r="J135" s="42">
        <v>0</v>
      </c>
      <c r="K135" s="42">
        <v>5009235.3499999996</v>
      </c>
      <c r="L135" s="42"/>
      <c r="M135" s="42">
        <v>0</v>
      </c>
      <c r="N135" s="42"/>
      <c r="O135" s="124">
        <v>0</v>
      </c>
      <c r="P135" s="124"/>
      <c r="Q135" s="124">
        <v>0</v>
      </c>
      <c r="R135" s="124"/>
      <c r="S135" s="124">
        <v>0</v>
      </c>
      <c r="T135" s="35">
        <v>0</v>
      </c>
      <c r="U135" s="35">
        <v>0</v>
      </c>
      <c r="V135" s="35">
        <v>0</v>
      </c>
      <c r="W135" s="42">
        <f t="shared" si="34"/>
        <v>5009235.3499999996</v>
      </c>
      <c r="X135" s="165">
        <v>2015</v>
      </c>
      <c r="Y135" s="165">
        <v>2015</v>
      </c>
      <c r="Z135" s="155"/>
      <c r="AA135" s="155"/>
    </row>
    <row r="136" spans="1:27" s="118" customFormat="1" ht="18" customHeight="1" x14ac:dyDescent="0.25">
      <c r="A136" s="165">
        <f t="shared" si="32"/>
        <v>102</v>
      </c>
      <c r="B136" s="24" t="s">
        <v>434</v>
      </c>
      <c r="C136" s="142">
        <v>1973</v>
      </c>
      <c r="D136" s="47"/>
      <c r="E136" s="121">
        <v>5839.2</v>
      </c>
      <c r="F136" s="45">
        <v>5757.5</v>
      </c>
      <c r="G136" s="42">
        <f t="shared" si="33"/>
        <v>814000</v>
      </c>
      <c r="H136" s="42">
        <v>814000</v>
      </c>
      <c r="I136" s="42"/>
      <c r="J136" s="42">
        <v>0</v>
      </c>
      <c r="K136" s="42">
        <v>0</v>
      </c>
      <c r="L136" s="42"/>
      <c r="M136" s="42">
        <v>0</v>
      </c>
      <c r="N136" s="42"/>
      <c r="O136" s="124">
        <v>0</v>
      </c>
      <c r="P136" s="124"/>
      <c r="Q136" s="124">
        <v>0</v>
      </c>
      <c r="R136" s="124"/>
      <c r="S136" s="124">
        <v>0</v>
      </c>
      <c r="T136" s="35">
        <v>0</v>
      </c>
      <c r="U136" s="35">
        <v>0</v>
      </c>
      <c r="V136" s="35">
        <v>0</v>
      </c>
      <c r="W136" s="42">
        <f t="shared" si="34"/>
        <v>814000</v>
      </c>
      <c r="X136" s="165">
        <v>2015</v>
      </c>
      <c r="Y136" s="165">
        <v>2015</v>
      </c>
      <c r="Z136" s="155"/>
      <c r="AA136" s="155"/>
    </row>
    <row r="137" spans="1:27" s="118" customFormat="1" ht="18" customHeight="1" x14ac:dyDescent="0.25">
      <c r="A137" s="165">
        <f t="shared" si="32"/>
        <v>103</v>
      </c>
      <c r="B137" s="24" t="s">
        <v>447</v>
      </c>
      <c r="C137" s="142">
        <v>1975</v>
      </c>
      <c r="D137" s="47"/>
      <c r="E137" s="121">
        <v>1118.2</v>
      </c>
      <c r="F137" s="45">
        <v>993.2</v>
      </c>
      <c r="G137" s="42">
        <f t="shared" si="33"/>
        <v>1088607.8</v>
      </c>
      <c r="H137" s="42">
        <v>0</v>
      </c>
      <c r="I137" s="42"/>
      <c r="J137" s="42">
        <v>0</v>
      </c>
      <c r="K137" s="42">
        <v>1088607.8</v>
      </c>
      <c r="L137" s="42"/>
      <c r="M137" s="42">
        <v>0</v>
      </c>
      <c r="N137" s="42"/>
      <c r="O137" s="124">
        <v>0</v>
      </c>
      <c r="P137" s="124"/>
      <c r="Q137" s="124">
        <v>0</v>
      </c>
      <c r="R137" s="124"/>
      <c r="S137" s="124">
        <v>0</v>
      </c>
      <c r="T137" s="35">
        <v>0</v>
      </c>
      <c r="U137" s="35">
        <v>0</v>
      </c>
      <c r="V137" s="35">
        <v>0</v>
      </c>
      <c r="W137" s="42">
        <f t="shared" si="34"/>
        <v>1088607.8</v>
      </c>
      <c r="X137" s="165">
        <v>2015</v>
      </c>
      <c r="Y137" s="165">
        <v>2015</v>
      </c>
      <c r="Z137" s="155"/>
      <c r="AA137" s="155"/>
    </row>
    <row r="138" spans="1:27" s="118" customFormat="1" ht="18" customHeight="1" x14ac:dyDescent="0.25">
      <c r="A138" s="165">
        <f t="shared" si="32"/>
        <v>104</v>
      </c>
      <c r="B138" s="24" t="s">
        <v>145</v>
      </c>
      <c r="C138" s="142">
        <v>1977</v>
      </c>
      <c r="D138" s="47"/>
      <c r="E138" s="121">
        <v>4892.7</v>
      </c>
      <c r="F138" s="45">
        <v>4814.2</v>
      </c>
      <c r="G138" s="42">
        <f t="shared" si="33"/>
        <v>5398479</v>
      </c>
      <c r="H138" s="42">
        <v>0</v>
      </c>
      <c r="I138" s="42"/>
      <c r="J138" s="42">
        <v>0</v>
      </c>
      <c r="K138" s="42">
        <v>5398479</v>
      </c>
      <c r="L138" s="42"/>
      <c r="M138" s="42">
        <v>0</v>
      </c>
      <c r="N138" s="42"/>
      <c r="O138" s="124">
        <v>0</v>
      </c>
      <c r="P138" s="124"/>
      <c r="Q138" s="124">
        <v>0</v>
      </c>
      <c r="R138" s="124"/>
      <c r="S138" s="124">
        <v>0</v>
      </c>
      <c r="T138" s="35">
        <v>0</v>
      </c>
      <c r="U138" s="35">
        <v>0</v>
      </c>
      <c r="V138" s="35">
        <v>0</v>
      </c>
      <c r="W138" s="42">
        <f t="shared" si="34"/>
        <v>5398479</v>
      </c>
      <c r="X138" s="165">
        <v>2015</v>
      </c>
      <c r="Y138" s="165">
        <v>2015</v>
      </c>
      <c r="Z138" s="155"/>
      <c r="AA138" s="155"/>
    </row>
    <row r="139" spans="1:27" s="118" customFormat="1" ht="18" customHeight="1" x14ac:dyDescent="0.25">
      <c r="A139" s="165">
        <f t="shared" si="32"/>
        <v>105</v>
      </c>
      <c r="B139" s="24" t="s">
        <v>446</v>
      </c>
      <c r="C139" s="142">
        <v>1961</v>
      </c>
      <c r="D139" s="47"/>
      <c r="E139" s="121">
        <v>2616.1</v>
      </c>
      <c r="F139" s="45">
        <v>2455.3000000000002</v>
      </c>
      <c r="G139" s="42">
        <f t="shared" si="33"/>
        <v>2730350</v>
      </c>
      <c r="H139" s="42">
        <v>0</v>
      </c>
      <c r="I139" s="42"/>
      <c r="J139" s="42">
        <v>0</v>
      </c>
      <c r="K139" s="42">
        <v>2730350</v>
      </c>
      <c r="L139" s="42"/>
      <c r="M139" s="42">
        <v>0</v>
      </c>
      <c r="N139" s="42"/>
      <c r="O139" s="124">
        <v>0</v>
      </c>
      <c r="P139" s="124"/>
      <c r="Q139" s="124">
        <v>0</v>
      </c>
      <c r="R139" s="124"/>
      <c r="S139" s="124">
        <v>0</v>
      </c>
      <c r="T139" s="35">
        <v>0</v>
      </c>
      <c r="U139" s="35">
        <v>0</v>
      </c>
      <c r="V139" s="35">
        <v>0</v>
      </c>
      <c r="W139" s="42">
        <f t="shared" si="34"/>
        <v>2730350</v>
      </c>
      <c r="X139" s="165">
        <v>2015</v>
      </c>
      <c r="Y139" s="165">
        <v>2015</v>
      </c>
      <c r="Z139" s="155"/>
      <c r="AA139" s="155"/>
    </row>
    <row r="140" spans="1:27" s="118" customFormat="1" ht="18" customHeight="1" x14ac:dyDescent="0.25">
      <c r="A140" s="165">
        <f t="shared" si="32"/>
        <v>106</v>
      </c>
      <c r="B140" s="24" t="s">
        <v>163</v>
      </c>
      <c r="C140" s="142">
        <v>1982</v>
      </c>
      <c r="D140" s="165"/>
      <c r="E140" s="121">
        <v>5393.5</v>
      </c>
      <c r="F140" s="45">
        <v>5340.3</v>
      </c>
      <c r="G140" s="42">
        <f t="shared" si="33"/>
        <v>2131500</v>
      </c>
      <c r="H140" s="42">
        <v>0</v>
      </c>
      <c r="I140" s="42"/>
      <c r="J140" s="42">
        <v>0</v>
      </c>
      <c r="K140" s="42">
        <v>2131500</v>
      </c>
      <c r="L140" s="42"/>
      <c r="M140" s="42">
        <v>0</v>
      </c>
      <c r="N140" s="42"/>
      <c r="O140" s="124">
        <v>0</v>
      </c>
      <c r="P140" s="124"/>
      <c r="Q140" s="124">
        <v>0</v>
      </c>
      <c r="R140" s="124"/>
      <c r="S140" s="124">
        <v>0</v>
      </c>
      <c r="T140" s="35">
        <v>0</v>
      </c>
      <c r="U140" s="35">
        <v>0</v>
      </c>
      <c r="V140" s="35">
        <v>0</v>
      </c>
      <c r="W140" s="42">
        <f t="shared" si="34"/>
        <v>2131500</v>
      </c>
      <c r="X140" s="165">
        <v>2015</v>
      </c>
      <c r="Y140" s="165">
        <v>2015</v>
      </c>
      <c r="Z140" s="155"/>
      <c r="AA140" s="155"/>
    </row>
    <row r="141" spans="1:27" s="118" customFormat="1" ht="18" customHeight="1" x14ac:dyDescent="0.25">
      <c r="A141" s="165">
        <f t="shared" si="32"/>
        <v>107</v>
      </c>
      <c r="B141" s="24" t="s">
        <v>164</v>
      </c>
      <c r="C141" s="142">
        <v>1982</v>
      </c>
      <c r="D141" s="165"/>
      <c r="E141" s="121">
        <v>1701.4</v>
      </c>
      <c r="F141" s="45">
        <v>1682.5</v>
      </c>
      <c r="G141" s="42">
        <f t="shared" si="33"/>
        <v>545567.92000000004</v>
      </c>
      <c r="H141" s="42">
        <v>0</v>
      </c>
      <c r="I141" s="42"/>
      <c r="J141" s="42">
        <v>0</v>
      </c>
      <c r="K141" s="42">
        <v>545567.92000000004</v>
      </c>
      <c r="L141" s="42"/>
      <c r="M141" s="42">
        <v>0</v>
      </c>
      <c r="N141" s="42"/>
      <c r="O141" s="124">
        <v>0</v>
      </c>
      <c r="P141" s="124"/>
      <c r="Q141" s="124">
        <v>0</v>
      </c>
      <c r="R141" s="124"/>
      <c r="S141" s="124">
        <v>0</v>
      </c>
      <c r="T141" s="35">
        <v>0</v>
      </c>
      <c r="U141" s="35">
        <v>0</v>
      </c>
      <c r="V141" s="35">
        <v>0</v>
      </c>
      <c r="W141" s="42">
        <f t="shared" si="34"/>
        <v>545567.92000000004</v>
      </c>
      <c r="X141" s="165">
        <v>2015</v>
      </c>
      <c r="Y141" s="165">
        <v>2015</v>
      </c>
      <c r="Z141" s="155"/>
      <c r="AA141" s="155"/>
    </row>
    <row r="142" spans="1:27" s="118" customFormat="1" ht="18" customHeight="1" x14ac:dyDescent="0.25">
      <c r="A142" s="165">
        <f t="shared" si="32"/>
        <v>108</v>
      </c>
      <c r="B142" s="24" t="s">
        <v>146</v>
      </c>
      <c r="C142" s="142">
        <v>1981</v>
      </c>
      <c r="D142" s="47"/>
      <c r="E142" s="121">
        <v>2408.9</v>
      </c>
      <c r="F142" s="45">
        <v>2375.6</v>
      </c>
      <c r="G142" s="42">
        <f t="shared" si="33"/>
        <v>3100000</v>
      </c>
      <c r="H142" s="42">
        <v>0</v>
      </c>
      <c r="I142" s="42"/>
      <c r="J142" s="42">
        <v>3100000</v>
      </c>
      <c r="K142" s="42">
        <v>0</v>
      </c>
      <c r="L142" s="42"/>
      <c r="M142" s="42">
        <v>0</v>
      </c>
      <c r="N142" s="42"/>
      <c r="O142" s="124">
        <v>0</v>
      </c>
      <c r="P142" s="124"/>
      <c r="Q142" s="124">
        <v>0</v>
      </c>
      <c r="R142" s="124"/>
      <c r="S142" s="124">
        <v>0</v>
      </c>
      <c r="T142" s="35">
        <v>0</v>
      </c>
      <c r="U142" s="35">
        <v>0</v>
      </c>
      <c r="V142" s="35">
        <v>0</v>
      </c>
      <c r="W142" s="42">
        <f t="shared" si="34"/>
        <v>3100000</v>
      </c>
      <c r="X142" s="165">
        <v>2015</v>
      </c>
      <c r="Y142" s="165">
        <v>2015</v>
      </c>
      <c r="Z142" s="155"/>
      <c r="AA142" s="155"/>
    </row>
    <row r="143" spans="1:27" s="118" customFormat="1" ht="18" customHeight="1" x14ac:dyDescent="0.25">
      <c r="A143" s="165">
        <f t="shared" si="32"/>
        <v>109</v>
      </c>
      <c r="B143" s="24" t="s">
        <v>445</v>
      </c>
      <c r="C143" s="142">
        <v>1981</v>
      </c>
      <c r="D143" s="47"/>
      <c r="E143" s="121">
        <v>7703.2</v>
      </c>
      <c r="F143" s="45">
        <f>7703.2-200</f>
        <v>7503.2</v>
      </c>
      <c r="G143" s="42">
        <f t="shared" si="33"/>
        <v>4658850</v>
      </c>
      <c r="H143" s="42">
        <v>0</v>
      </c>
      <c r="I143" s="42"/>
      <c r="J143" s="42">
        <v>0</v>
      </c>
      <c r="K143" s="42">
        <v>4658850</v>
      </c>
      <c r="L143" s="42"/>
      <c r="M143" s="42">
        <v>0</v>
      </c>
      <c r="N143" s="42"/>
      <c r="O143" s="124">
        <v>0</v>
      </c>
      <c r="P143" s="124"/>
      <c r="Q143" s="124">
        <v>0</v>
      </c>
      <c r="R143" s="124"/>
      <c r="S143" s="124">
        <v>0</v>
      </c>
      <c r="T143" s="35">
        <v>0</v>
      </c>
      <c r="U143" s="35">
        <v>0</v>
      </c>
      <c r="V143" s="35">
        <v>0</v>
      </c>
      <c r="W143" s="42">
        <f t="shared" si="34"/>
        <v>4658850</v>
      </c>
      <c r="X143" s="165">
        <v>2015</v>
      </c>
      <c r="Y143" s="165">
        <v>2015</v>
      </c>
      <c r="Z143" s="155"/>
      <c r="AA143" s="155"/>
    </row>
    <row r="144" spans="1:27" s="118" customFormat="1" ht="18" customHeight="1" x14ac:dyDescent="0.25">
      <c r="A144" s="165">
        <f t="shared" si="32"/>
        <v>110</v>
      </c>
      <c r="B144" s="24" t="s">
        <v>147</v>
      </c>
      <c r="C144" s="142">
        <v>1986</v>
      </c>
      <c r="D144" s="47"/>
      <c r="E144" s="121">
        <v>3491.3</v>
      </c>
      <c r="F144" s="45">
        <v>3398.1</v>
      </c>
      <c r="G144" s="42">
        <f t="shared" si="33"/>
        <v>3542350</v>
      </c>
      <c r="H144" s="42">
        <v>0</v>
      </c>
      <c r="I144" s="42"/>
      <c r="J144" s="42">
        <v>0</v>
      </c>
      <c r="K144" s="42">
        <v>3542350</v>
      </c>
      <c r="L144" s="42"/>
      <c r="M144" s="42">
        <v>0</v>
      </c>
      <c r="N144" s="42"/>
      <c r="O144" s="124">
        <v>0</v>
      </c>
      <c r="P144" s="124"/>
      <c r="Q144" s="124">
        <v>0</v>
      </c>
      <c r="R144" s="124"/>
      <c r="S144" s="124">
        <v>0</v>
      </c>
      <c r="T144" s="35">
        <v>0</v>
      </c>
      <c r="U144" s="35">
        <v>0</v>
      </c>
      <c r="V144" s="35">
        <v>0</v>
      </c>
      <c r="W144" s="42">
        <f t="shared" si="34"/>
        <v>3542350</v>
      </c>
      <c r="X144" s="165">
        <v>2015</v>
      </c>
      <c r="Y144" s="165">
        <v>2015</v>
      </c>
      <c r="Z144" s="155"/>
      <c r="AA144" s="155"/>
    </row>
    <row r="145" spans="1:27" s="118" customFormat="1" ht="18" customHeight="1" x14ac:dyDescent="0.25">
      <c r="A145" s="165">
        <f t="shared" si="32"/>
        <v>111</v>
      </c>
      <c r="B145" s="24" t="s">
        <v>149</v>
      </c>
      <c r="C145" s="142">
        <v>1957</v>
      </c>
      <c r="D145" s="165"/>
      <c r="E145" s="121">
        <v>3384.9</v>
      </c>
      <c r="F145" s="45">
        <v>2617.8000000000002</v>
      </c>
      <c r="G145" s="42">
        <f t="shared" si="33"/>
        <v>2182250</v>
      </c>
      <c r="H145" s="42">
        <v>0</v>
      </c>
      <c r="I145" s="42"/>
      <c r="J145" s="42">
        <v>0</v>
      </c>
      <c r="K145" s="42">
        <v>0</v>
      </c>
      <c r="L145" s="42"/>
      <c r="M145" s="42">
        <v>0</v>
      </c>
      <c r="N145" s="42"/>
      <c r="O145" s="42">
        <v>2182250</v>
      </c>
      <c r="P145" s="42"/>
      <c r="Q145" s="42">
        <v>0</v>
      </c>
      <c r="R145" s="42"/>
      <c r="S145" s="42">
        <v>0</v>
      </c>
      <c r="T145" s="42">
        <v>0</v>
      </c>
      <c r="U145" s="42">
        <v>0</v>
      </c>
      <c r="V145" s="42">
        <v>0</v>
      </c>
      <c r="W145" s="42">
        <f t="shared" si="34"/>
        <v>2182250</v>
      </c>
      <c r="X145" s="165">
        <v>2015</v>
      </c>
      <c r="Y145" s="165">
        <v>2015</v>
      </c>
      <c r="Z145" s="155"/>
      <c r="AA145" s="155"/>
    </row>
    <row r="146" spans="1:27" s="118" customFormat="1" ht="18" customHeight="1" x14ac:dyDescent="0.25">
      <c r="A146" s="165">
        <f t="shared" si="32"/>
        <v>112</v>
      </c>
      <c r="B146" s="24" t="s">
        <v>150</v>
      </c>
      <c r="C146" s="142">
        <v>1978</v>
      </c>
      <c r="D146" s="47"/>
      <c r="E146" s="121">
        <v>11007.1</v>
      </c>
      <c r="F146" s="45">
        <v>10820.4</v>
      </c>
      <c r="G146" s="42">
        <f t="shared" si="33"/>
        <v>9550000</v>
      </c>
      <c r="H146" s="42">
        <v>0</v>
      </c>
      <c r="I146" s="42"/>
      <c r="J146" s="42">
        <v>9550000</v>
      </c>
      <c r="K146" s="42">
        <v>0</v>
      </c>
      <c r="L146" s="42"/>
      <c r="M146" s="42">
        <v>0</v>
      </c>
      <c r="N146" s="42"/>
      <c r="O146" s="124">
        <v>0</v>
      </c>
      <c r="P146" s="124"/>
      <c r="Q146" s="124">
        <v>0</v>
      </c>
      <c r="R146" s="124"/>
      <c r="S146" s="124">
        <v>0</v>
      </c>
      <c r="T146" s="35">
        <v>0</v>
      </c>
      <c r="U146" s="35">
        <v>0</v>
      </c>
      <c r="V146" s="35">
        <v>0</v>
      </c>
      <c r="W146" s="42">
        <f t="shared" si="34"/>
        <v>9550000</v>
      </c>
      <c r="X146" s="165">
        <v>2015</v>
      </c>
      <c r="Y146" s="165">
        <v>2015</v>
      </c>
      <c r="Z146" s="155"/>
      <c r="AA146" s="155"/>
    </row>
    <row r="147" spans="1:27" s="118" customFormat="1" ht="18" customHeight="1" x14ac:dyDescent="0.25">
      <c r="A147" s="165">
        <f t="shared" si="32"/>
        <v>113</v>
      </c>
      <c r="B147" s="24" t="s">
        <v>152</v>
      </c>
      <c r="C147" s="142">
        <v>1962</v>
      </c>
      <c r="D147" s="47"/>
      <c r="E147" s="121">
        <v>637.1</v>
      </c>
      <c r="F147" s="45">
        <f>637.1-10</f>
        <v>627.1</v>
      </c>
      <c r="G147" s="42">
        <f t="shared" si="33"/>
        <v>700350</v>
      </c>
      <c r="H147" s="42">
        <v>0</v>
      </c>
      <c r="I147" s="42"/>
      <c r="J147" s="42">
        <v>0</v>
      </c>
      <c r="K147" s="42">
        <v>700350</v>
      </c>
      <c r="L147" s="42"/>
      <c r="M147" s="42">
        <v>0</v>
      </c>
      <c r="N147" s="42"/>
      <c r="O147" s="124">
        <v>0</v>
      </c>
      <c r="P147" s="124"/>
      <c r="Q147" s="124">
        <v>0</v>
      </c>
      <c r="R147" s="124"/>
      <c r="S147" s="124">
        <v>0</v>
      </c>
      <c r="T147" s="35">
        <v>0</v>
      </c>
      <c r="U147" s="35">
        <v>0</v>
      </c>
      <c r="V147" s="35">
        <v>0</v>
      </c>
      <c r="W147" s="42">
        <f t="shared" si="34"/>
        <v>700350</v>
      </c>
      <c r="X147" s="165">
        <v>2015</v>
      </c>
      <c r="Y147" s="165">
        <v>2015</v>
      </c>
      <c r="Z147" s="155"/>
      <c r="AA147" s="155"/>
    </row>
    <row r="148" spans="1:27" s="118" customFormat="1" ht="18" customHeight="1" x14ac:dyDescent="0.25">
      <c r="A148" s="165">
        <f t="shared" si="32"/>
        <v>114</v>
      </c>
      <c r="B148" s="24" t="s">
        <v>154</v>
      </c>
      <c r="C148" s="142">
        <v>1962</v>
      </c>
      <c r="D148" s="47"/>
      <c r="E148" s="121">
        <v>690.9</v>
      </c>
      <c r="F148" s="45">
        <f>690.9-12</f>
        <v>678.9</v>
      </c>
      <c r="G148" s="42">
        <f t="shared" si="33"/>
        <v>761250</v>
      </c>
      <c r="H148" s="42">
        <v>0</v>
      </c>
      <c r="I148" s="42"/>
      <c r="J148" s="42">
        <v>0</v>
      </c>
      <c r="K148" s="42">
        <v>761250</v>
      </c>
      <c r="L148" s="42"/>
      <c r="M148" s="42">
        <v>0</v>
      </c>
      <c r="N148" s="42"/>
      <c r="O148" s="124">
        <v>0</v>
      </c>
      <c r="P148" s="124"/>
      <c r="Q148" s="124">
        <v>0</v>
      </c>
      <c r="R148" s="124"/>
      <c r="S148" s="124">
        <v>0</v>
      </c>
      <c r="T148" s="35">
        <v>0</v>
      </c>
      <c r="U148" s="35">
        <v>0</v>
      </c>
      <c r="V148" s="35">
        <v>0</v>
      </c>
      <c r="W148" s="42">
        <f t="shared" si="34"/>
        <v>761250</v>
      </c>
      <c r="X148" s="165">
        <v>2015</v>
      </c>
      <c r="Y148" s="165">
        <v>2015</v>
      </c>
      <c r="Z148" s="155"/>
      <c r="AA148" s="155"/>
    </row>
    <row r="149" spans="1:27" s="118" customFormat="1" ht="18" customHeight="1" x14ac:dyDescent="0.25">
      <c r="A149" s="165">
        <f t="shared" si="32"/>
        <v>115</v>
      </c>
      <c r="B149" s="24" t="s">
        <v>22</v>
      </c>
      <c r="C149" s="142">
        <v>1978</v>
      </c>
      <c r="D149" s="47"/>
      <c r="E149" s="121">
        <v>4228.6000000000004</v>
      </c>
      <c r="F149" s="45">
        <v>3854.1</v>
      </c>
      <c r="G149" s="42">
        <f t="shared" si="33"/>
        <v>2427180.66</v>
      </c>
      <c r="H149" s="42">
        <v>0</v>
      </c>
      <c r="I149" s="42"/>
      <c r="J149" s="42">
        <v>0</v>
      </c>
      <c r="K149" s="42">
        <v>2427180.66</v>
      </c>
      <c r="L149" s="42"/>
      <c r="M149" s="42">
        <v>0</v>
      </c>
      <c r="N149" s="42"/>
      <c r="O149" s="42">
        <v>0</v>
      </c>
      <c r="P149" s="42"/>
      <c r="Q149" s="42">
        <v>0</v>
      </c>
      <c r="R149" s="42"/>
      <c r="S149" s="42">
        <v>0</v>
      </c>
      <c r="T149" s="42">
        <v>0</v>
      </c>
      <c r="U149" s="42">
        <v>0</v>
      </c>
      <c r="V149" s="42">
        <v>0</v>
      </c>
      <c r="W149" s="42">
        <f t="shared" si="34"/>
        <v>2427180.66</v>
      </c>
      <c r="X149" s="165">
        <v>2015</v>
      </c>
      <c r="Y149" s="165">
        <v>2015</v>
      </c>
      <c r="Z149" s="155"/>
      <c r="AA149" s="155"/>
    </row>
    <row r="150" spans="1:27" s="118" customFormat="1" ht="18" customHeight="1" x14ac:dyDescent="0.25">
      <c r="A150" s="165">
        <f t="shared" si="32"/>
        <v>116</v>
      </c>
      <c r="B150" s="24" t="s">
        <v>157</v>
      </c>
      <c r="C150" s="142">
        <v>1952</v>
      </c>
      <c r="D150" s="47"/>
      <c r="E150" s="121">
        <v>3850.4</v>
      </c>
      <c r="F150" s="45">
        <v>3132.6</v>
      </c>
      <c r="G150" s="42">
        <f t="shared" si="33"/>
        <v>4260621</v>
      </c>
      <c r="H150" s="42">
        <v>0</v>
      </c>
      <c r="I150" s="42"/>
      <c r="J150" s="42">
        <v>0</v>
      </c>
      <c r="K150" s="42">
        <v>4260621</v>
      </c>
      <c r="L150" s="42"/>
      <c r="M150" s="42">
        <v>0</v>
      </c>
      <c r="N150" s="42"/>
      <c r="O150" s="124">
        <v>0</v>
      </c>
      <c r="P150" s="124"/>
      <c r="Q150" s="124">
        <v>0</v>
      </c>
      <c r="R150" s="124"/>
      <c r="S150" s="124">
        <v>0</v>
      </c>
      <c r="T150" s="35">
        <v>0</v>
      </c>
      <c r="U150" s="35">
        <v>0</v>
      </c>
      <c r="V150" s="35">
        <v>0</v>
      </c>
      <c r="W150" s="42">
        <f t="shared" si="34"/>
        <v>4260621</v>
      </c>
      <c r="X150" s="165">
        <v>2015</v>
      </c>
      <c r="Y150" s="165">
        <v>2015</v>
      </c>
      <c r="Z150" s="155"/>
      <c r="AA150" s="155"/>
    </row>
    <row r="151" spans="1:27" s="118" customFormat="1" ht="18" customHeight="1" x14ac:dyDescent="0.25">
      <c r="A151" s="165">
        <f t="shared" si="32"/>
        <v>117</v>
      </c>
      <c r="B151" s="24" t="s">
        <v>158</v>
      </c>
      <c r="C151" s="142">
        <v>1969</v>
      </c>
      <c r="D151" s="47"/>
      <c r="E151" s="121">
        <v>2818.7</v>
      </c>
      <c r="F151" s="45">
        <v>2796.3</v>
      </c>
      <c r="G151" s="42">
        <f t="shared" si="33"/>
        <v>2862300</v>
      </c>
      <c r="H151" s="42">
        <v>0</v>
      </c>
      <c r="I151" s="42"/>
      <c r="J151" s="42">
        <v>0</v>
      </c>
      <c r="K151" s="42">
        <v>2862300</v>
      </c>
      <c r="L151" s="42"/>
      <c r="M151" s="42">
        <v>0</v>
      </c>
      <c r="N151" s="42"/>
      <c r="O151" s="124">
        <v>0</v>
      </c>
      <c r="P151" s="124"/>
      <c r="Q151" s="124">
        <v>0</v>
      </c>
      <c r="R151" s="124"/>
      <c r="S151" s="124">
        <v>0</v>
      </c>
      <c r="T151" s="35">
        <v>0</v>
      </c>
      <c r="U151" s="35">
        <v>0</v>
      </c>
      <c r="V151" s="35">
        <v>0</v>
      </c>
      <c r="W151" s="42">
        <f t="shared" si="34"/>
        <v>2862300</v>
      </c>
      <c r="X151" s="165">
        <v>2015</v>
      </c>
      <c r="Y151" s="165">
        <v>2015</v>
      </c>
      <c r="Z151" s="155"/>
      <c r="AA151" s="155"/>
    </row>
    <row r="152" spans="1:27" s="118" customFormat="1" ht="18" customHeight="1" x14ac:dyDescent="0.25">
      <c r="A152" s="165">
        <f t="shared" si="32"/>
        <v>118</v>
      </c>
      <c r="B152" s="24" t="s">
        <v>448</v>
      </c>
      <c r="C152" s="142">
        <v>1989</v>
      </c>
      <c r="D152" s="47"/>
      <c r="E152" s="121">
        <v>3522.3</v>
      </c>
      <c r="F152" s="45">
        <v>3506.9</v>
      </c>
      <c r="G152" s="42">
        <f t="shared" si="33"/>
        <v>1795000</v>
      </c>
      <c r="H152" s="42">
        <v>1795000</v>
      </c>
      <c r="I152" s="42"/>
      <c r="J152" s="42">
        <v>0</v>
      </c>
      <c r="K152" s="42">
        <v>0</v>
      </c>
      <c r="L152" s="42"/>
      <c r="M152" s="42">
        <v>0</v>
      </c>
      <c r="N152" s="42"/>
      <c r="O152" s="124">
        <v>0</v>
      </c>
      <c r="P152" s="124"/>
      <c r="Q152" s="124">
        <v>0</v>
      </c>
      <c r="R152" s="124"/>
      <c r="S152" s="124">
        <v>0</v>
      </c>
      <c r="T152" s="35">
        <v>0</v>
      </c>
      <c r="U152" s="35">
        <v>0</v>
      </c>
      <c r="V152" s="35">
        <v>0</v>
      </c>
      <c r="W152" s="42">
        <f t="shared" si="34"/>
        <v>1795000</v>
      </c>
      <c r="X152" s="165">
        <v>2015</v>
      </c>
      <c r="Y152" s="165">
        <v>2015</v>
      </c>
      <c r="Z152" s="155"/>
      <c r="AA152" s="155"/>
    </row>
    <row r="153" spans="1:27" s="118" customFormat="1" ht="18" customHeight="1" x14ac:dyDescent="0.25">
      <c r="A153" s="165">
        <f t="shared" ref="A153:A200" si="35">A152+1</f>
        <v>119</v>
      </c>
      <c r="B153" s="24" t="s">
        <v>449</v>
      </c>
      <c r="C153" s="142">
        <v>1984</v>
      </c>
      <c r="D153" s="47"/>
      <c r="E153" s="121">
        <v>3410.2</v>
      </c>
      <c r="F153" s="45">
        <v>3394</v>
      </c>
      <c r="G153" s="42">
        <f t="shared" si="33"/>
        <v>1706000</v>
      </c>
      <c r="H153" s="42">
        <v>1706000</v>
      </c>
      <c r="I153" s="42"/>
      <c r="J153" s="42">
        <v>0</v>
      </c>
      <c r="K153" s="42">
        <v>0</v>
      </c>
      <c r="L153" s="42"/>
      <c r="M153" s="42">
        <v>0</v>
      </c>
      <c r="N153" s="42"/>
      <c r="O153" s="124">
        <v>0</v>
      </c>
      <c r="P153" s="124"/>
      <c r="Q153" s="124">
        <v>0</v>
      </c>
      <c r="R153" s="124"/>
      <c r="S153" s="124">
        <v>0</v>
      </c>
      <c r="T153" s="35">
        <v>0</v>
      </c>
      <c r="U153" s="35">
        <v>0</v>
      </c>
      <c r="V153" s="35">
        <v>0</v>
      </c>
      <c r="W153" s="42">
        <f t="shared" si="34"/>
        <v>1706000</v>
      </c>
      <c r="X153" s="165">
        <v>2015</v>
      </c>
      <c r="Y153" s="165">
        <v>2015</v>
      </c>
      <c r="Z153" s="155"/>
      <c r="AA153" s="155"/>
    </row>
    <row r="154" spans="1:27" s="118" customFormat="1" ht="18" customHeight="1" x14ac:dyDescent="0.25">
      <c r="A154" s="165">
        <f t="shared" si="35"/>
        <v>120</v>
      </c>
      <c r="B154" s="24" t="s">
        <v>450</v>
      </c>
      <c r="C154" s="142">
        <v>1985</v>
      </c>
      <c r="D154" s="47"/>
      <c r="E154" s="121">
        <v>3418.1</v>
      </c>
      <c r="F154" s="45">
        <v>3372.6</v>
      </c>
      <c r="G154" s="42">
        <f t="shared" si="33"/>
        <v>1750000</v>
      </c>
      <c r="H154" s="42">
        <v>1750000</v>
      </c>
      <c r="I154" s="42"/>
      <c r="J154" s="42">
        <v>0</v>
      </c>
      <c r="K154" s="42">
        <v>0</v>
      </c>
      <c r="L154" s="42"/>
      <c r="M154" s="42">
        <v>0</v>
      </c>
      <c r="N154" s="42"/>
      <c r="O154" s="124">
        <v>0</v>
      </c>
      <c r="P154" s="124"/>
      <c r="Q154" s="124">
        <v>0</v>
      </c>
      <c r="R154" s="124"/>
      <c r="S154" s="124">
        <v>0</v>
      </c>
      <c r="T154" s="35">
        <v>0</v>
      </c>
      <c r="U154" s="35">
        <v>0</v>
      </c>
      <c r="V154" s="35">
        <v>0</v>
      </c>
      <c r="W154" s="42">
        <f t="shared" si="34"/>
        <v>1750000</v>
      </c>
      <c r="X154" s="165">
        <v>2015</v>
      </c>
      <c r="Y154" s="165">
        <v>2015</v>
      </c>
      <c r="Z154" s="155"/>
      <c r="AA154" s="155"/>
    </row>
    <row r="155" spans="1:27" s="118" customFormat="1" ht="18" customHeight="1" x14ac:dyDescent="0.25">
      <c r="A155" s="165">
        <f t="shared" si="35"/>
        <v>121</v>
      </c>
      <c r="B155" s="24" t="s">
        <v>456</v>
      </c>
      <c r="C155" s="142">
        <v>1971</v>
      </c>
      <c r="D155" s="165"/>
      <c r="E155" s="45">
        <v>1788.4</v>
      </c>
      <c r="F155" s="45">
        <v>1372.7</v>
      </c>
      <c r="G155" s="42">
        <f t="shared" ref="G155:G178" si="36">H155+J155+K155+M155+O155+Q155+S155</f>
        <v>2189744.77</v>
      </c>
      <c r="H155" s="35">
        <v>0</v>
      </c>
      <c r="I155" s="35"/>
      <c r="J155" s="35">
        <v>0</v>
      </c>
      <c r="K155" s="42">
        <f>ROUND(F155*1595.21,2)</f>
        <v>2189744.77</v>
      </c>
      <c r="L155" s="35">
        <f>K155/F155</f>
        <v>1595.2100021854737</v>
      </c>
      <c r="M155" s="35">
        <v>0</v>
      </c>
      <c r="N155" s="35"/>
      <c r="O155" s="35">
        <v>0</v>
      </c>
      <c r="P155" s="35"/>
      <c r="Q155" s="35">
        <v>0</v>
      </c>
      <c r="R155" s="35"/>
      <c r="S155" s="35">
        <v>0</v>
      </c>
      <c r="T155" s="35">
        <v>0</v>
      </c>
      <c r="U155" s="35">
        <v>0</v>
      </c>
      <c r="V155" s="35">
        <v>0</v>
      </c>
      <c r="W155" s="42">
        <f t="shared" si="34"/>
        <v>2189744.77</v>
      </c>
      <c r="X155" s="165">
        <v>2016</v>
      </c>
      <c r="Y155" s="165">
        <v>2016</v>
      </c>
      <c r="Z155" s="155">
        <f>Z82+1</f>
        <v>34</v>
      </c>
      <c r="AA155" s="155">
        <v>1</v>
      </c>
    </row>
    <row r="156" spans="1:27" s="118" customFormat="1" ht="18" customHeight="1" x14ac:dyDescent="0.25">
      <c r="A156" s="165">
        <f t="shared" si="35"/>
        <v>122</v>
      </c>
      <c r="B156" s="24" t="s">
        <v>304</v>
      </c>
      <c r="C156" s="142">
        <v>1950</v>
      </c>
      <c r="D156" s="165"/>
      <c r="E156" s="45">
        <f>686.6+16.4</f>
        <v>703</v>
      </c>
      <c r="F156" s="45">
        <v>686.6</v>
      </c>
      <c r="G156" s="42">
        <f t="shared" si="36"/>
        <v>1700921.0499999998</v>
      </c>
      <c r="H156" s="35">
        <v>0</v>
      </c>
      <c r="I156" s="42"/>
      <c r="J156" s="35">
        <v>0</v>
      </c>
      <c r="K156" s="42">
        <v>1095271.19</v>
      </c>
      <c r="L156" s="35">
        <f t="shared" ref="L156:L161" si="37">K156/F156</f>
        <v>1595.2100058258081</v>
      </c>
      <c r="M156" s="35">
        <v>0</v>
      </c>
      <c r="N156" s="35"/>
      <c r="O156" s="42">
        <f>ROUND(F156*882.1,2)</f>
        <v>605649.86</v>
      </c>
      <c r="P156" s="35">
        <f>O156/F156</f>
        <v>882.09999999999991</v>
      </c>
      <c r="Q156" s="35">
        <v>0</v>
      </c>
      <c r="R156" s="35"/>
      <c r="S156" s="35">
        <v>0</v>
      </c>
      <c r="T156" s="35">
        <v>0</v>
      </c>
      <c r="U156" s="35">
        <v>0</v>
      </c>
      <c r="V156" s="35">
        <v>0</v>
      </c>
      <c r="W156" s="42">
        <f t="shared" si="34"/>
        <v>1700921.0499999998</v>
      </c>
      <c r="X156" s="165">
        <v>2016</v>
      </c>
      <c r="Y156" s="165">
        <v>2016</v>
      </c>
      <c r="Z156" s="155">
        <f>Z155+1</f>
        <v>35</v>
      </c>
      <c r="AA156" s="155">
        <f>AA155+1</f>
        <v>2</v>
      </c>
    </row>
    <row r="157" spans="1:27" s="118" customFormat="1" ht="18" customHeight="1" x14ac:dyDescent="0.25">
      <c r="A157" s="165">
        <f t="shared" si="35"/>
        <v>123</v>
      </c>
      <c r="B157" s="24" t="s">
        <v>305</v>
      </c>
      <c r="C157" s="142">
        <v>1970</v>
      </c>
      <c r="D157" s="165"/>
      <c r="E157" s="45">
        <v>3456.9</v>
      </c>
      <c r="F157" s="45">
        <v>3412.6</v>
      </c>
      <c r="G157" s="42">
        <f t="shared" si="36"/>
        <v>733709</v>
      </c>
      <c r="H157" s="35">
        <v>733709</v>
      </c>
      <c r="I157" s="42">
        <f>H157/F157</f>
        <v>215</v>
      </c>
      <c r="J157" s="35">
        <v>0</v>
      </c>
      <c r="K157" s="35">
        <v>0</v>
      </c>
      <c r="L157" s="35">
        <f t="shared" si="37"/>
        <v>0</v>
      </c>
      <c r="M157" s="35">
        <v>0</v>
      </c>
      <c r="N157" s="35"/>
      <c r="O157" s="35">
        <v>0</v>
      </c>
      <c r="P157" s="35"/>
      <c r="Q157" s="35">
        <v>0</v>
      </c>
      <c r="R157" s="35"/>
      <c r="S157" s="35">
        <v>0</v>
      </c>
      <c r="T157" s="35">
        <v>0</v>
      </c>
      <c r="U157" s="35">
        <v>0</v>
      </c>
      <c r="V157" s="35">
        <v>0</v>
      </c>
      <c r="W157" s="42">
        <f t="shared" si="34"/>
        <v>733709</v>
      </c>
      <c r="X157" s="165">
        <v>2016</v>
      </c>
      <c r="Y157" s="165">
        <v>2016</v>
      </c>
      <c r="Z157" s="155">
        <f t="shared" ref="Z157:Z200" si="38">Z156+1</f>
        <v>36</v>
      </c>
      <c r="AA157" s="155">
        <f t="shared" ref="AA157:AA196" si="39">AA156+1</f>
        <v>3</v>
      </c>
    </row>
    <row r="158" spans="1:27" s="118" customFormat="1" ht="18" customHeight="1" x14ac:dyDescent="0.25">
      <c r="A158" s="165">
        <f t="shared" si="35"/>
        <v>124</v>
      </c>
      <c r="B158" s="24" t="s">
        <v>484</v>
      </c>
      <c r="C158" s="142">
        <v>1974</v>
      </c>
      <c r="D158" s="165"/>
      <c r="E158" s="45">
        <v>3293.5</v>
      </c>
      <c r="F158" s="45">
        <v>2523.1</v>
      </c>
      <c r="G158" s="42">
        <f t="shared" si="36"/>
        <v>1734505.1</v>
      </c>
      <c r="H158" s="35">
        <f>ROUND((151+215+321.45)*F158,2)</f>
        <v>1734505.1</v>
      </c>
      <c r="I158" s="42">
        <f>H158/F158</f>
        <v>687.4500019816893</v>
      </c>
      <c r="J158" s="35">
        <v>0</v>
      </c>
      <c r="K158" s="35">
        <v>0</v>
      </c>
      <c r="L158" s="35">
        <f t="shared" si="37"/>
        <v>0</v>
      </c>
      <c r="M158" s="35">
        <v>0</v>
      </c>
      <c r="N158" s="35"/>
      <c r="O158" s="35">
        <v>0</v>
      </c>
      <c r="P158" s="35"/>
      <c r="Q158" s="35">
        <v>0</v>
      </c>
      <c r="R158" s="35"/>
      <c r="S158" s="35">
        <v>0</v>
      </c>
      <c r="T158" s="35">
        <v>0</v>
      </c>
      <c r="U158" s="35">
        <v>0</v>
      </c>
      <c r="V158" s="35">
        <v>1734505.1</v>
      </c>
      <c r="W158" s="42">
        <v>0</v>
      </c>
      <c r="X158" s="165">
        <v>2016</v>
      </c>
      <c r="Y158" s="165">
        <v>2016</v>
      </c>
      <c r="Z158" s="155">
        <f t="shared" si="38"/>
        <v>37</v>
      </c>
      <c r="AA158" s="119">
        <f t="shared" si="39"/>
        <v>4</v>
      </c>
    </row>
    <row r="159" spans="1:27" s="118" customFormat="1" ht="18" customHeight="1" x14ac:dyDescent="0.25">
      <c r="A159" s="165">
        <f t="shared" si="35"/>
        <v>125</v>
      </c>
      <c r="B159" s="24" t="s">
        <v>306</v>
      </c>
      <c r="C159" s="142">
        <v>1984</v>
      </c>
      <c r="D159" s="165"/>
      <c r="E159" s="45">
        <v>2959.5</v>
      </c>
      <c r="F159" s="45">
        <v>2893.1</v>
      </c>
      <c r="G159" s="42">
        <f t="shared" si="36"/>
        <v>2645855.67</v>
      </c>
      <c r="H159" s="35">
        <v>0</v>
      </c>
      <c r="I159" s="35"/>
      <c r="J159" s="35">
        <v>0</v>
      </c>
      <c r="K159" s="42">
        <v>2645855.67</v>
      </c>
      <c r="L159" s="35">
        <f t="shared" si="37"/>
        <v>914.53999861739999</v>
      </c>
      <c r="M159" s="35">
        <v>0</v>
      </c>
      <c r="N159" s="35"/>
      <c r="O159" s="35">
        <v>0</v>
      </c>
      <c r="P159" s="35"/>
      <c r="Q159" s="35">
        <v>0</v>
      </c>
      <c r="R159" s="35"/>
      <c r="S159" s="35">
        <v>0</v>
      </c>
      <c r="T159" s="35">
        <v>0</v>
      </c>
      <c r="U159" s="35">
        <v>0</v>
      </c>
      <c r="V159" s="35">
        <v>0</v>
      </c>
      <c r="W159" s="42">
        <f t="shared" ref="W159" si="40">G159</f>
        <v>2645855.67</v>
      </c>
      <c r="X159" s="165">
        <v>2016</v>
      </c>
      <c r="Y159" s="165">
        <v>2016</v>
      </c>
      <c r="Z159" s="155">
        <f t="shared" si="38"/>
        <v>38</v>
      </c>
      <c r="AA159" s="155">
        <f t="shared" si="39"/>
        <v>5</v>
      </c>
    </row>
    <row r="160" spans="1:27" s="118" customFormat="1" ht="15.6" x14ac:dyDescent="0.25">
      <c r="A160" s="165">
        <f t="shared" si="35"/>
        <v>126</v>
      </c>
      <c r="B160" s="24" t="s">
        <v>408</v>
      </c>
      <c r="C160" s="142">
        <v>1964</v>
      </c>
      <c r="D160" s="165"/>
      <c r="E160" s="45">
        <v>2961.7</v>
      </c>
      <c r="F160" s="45">
        <v>2516.4</v>
      </c>
      <c r="G160" s="42">
        <f t="shared" si="36"/>
        <v>541026</v>
      </c>
      <c r="H160" s="35">
        <v>541026</v>
      </c>
      <c r="I160" s="42">
        <f>H160/F160</f>
        <v>215</v>
      </c>
      <c r="J160" s="35">
        <v>0</v>
      </c>
      <c r="K160" s="35">
        <v>0</v>
      </c>
      <c r="L160" s="35">
        <f t="shared" si="37"/>
        <v>0</v>
      </c>
      <c r="M160" s="35">
        <v>0</v>
      </c>
      <c r="N160" s="35"/>
      <c r="O160" s="35">
        <v>0</v>
      </c>
      <c r="P160" s="35"/>
      <c r="Q160" s="35">
        <v>0</v>
      </c>
      <c r="R160" s="35"/>
      <c r="S160" s="35">
        <v>0</v>
      </c>
      <c r="T160" s="35">
        <v>0</v>
      </c>
      <c r="U160" s="35">
        <v>0</v>
      </c>
      <c r="V160" s="35">
        <v>0</v>
      </c>
      <c r="W160" s="42">
        <f t="shared" ref="W160:W192" si="41">G160</f>
        <v>541026</v>
      </c>
      <c r="X160" s="165">
        <v>2016</v>
      </c>
      <c r="Y160" s="165">
        <v>2016</v>
      </c>
      <c r="Z160" s="155">
        <f t="shared" si="38"/>
        <v>39</v>
      </c>
      <c r="AA160" s="155">
        <f t="shared" si="39"/>
        <v>6</v>
      </c>
    </row>
    <row r="161" spans="1:27" s="118" customFormat="1" ht="15.6" x14ac:dyDescent="0.25">
      <c r="A161" s="165">
        <f t="shared" si="35"/>
        <v>127</v>
      </c>
      <c r="B161" s="24" t="s">
        <v>307</v>
      </c>
      <c r="C161" s="142">
        <v>1959</v>
      </c>
      <c r="D161" s="165"/>
      <c r="E161" s="45">
        <v>5460.7</v>
      </c>
      <c r="F161" s="45">
        <v>4366.6000000000004</v>
      </c>
      <c r="G161" s="42">
        <f t="shared" si="36"/>
        <v>6965643.9900000002</v>
      </c>
      <c r="H161" s="35">
        <v>0</v>
      </c>
      <c r="I161" s="35"/>
      <c r="J161" s="35">
        <v>0</v>
      </c>
      <c r="K161" s="42">
        <v>6965643.9900000002</v>
      </c>
      <c r="L161" s="35">
        <f t="shared" si="37"/>
        <v>1595.2100009160445</v>
      </c>
      <c r="M161" s="35">
        <v>0</v>
      </c>
      <c r="N161" s="35"/>
      <c r="O161" s="35">
        <v>0</v>
      </c>
      <c r="P161" s="35"/>
      <c r="Q161" s="35">
        <v>0</v>
      </c>
      <c r="R161" s="35"/>
      <c r="S161" s="35">
        <v>0</v>
      </c>
      <c r="T161" s="35">
        <v>0</v>
      </c>
      <c r="U161" s="35">
        <v>0</v>
      </c>
      <c r="V161" s="35">
        <v>0</v>
      </c>
      <c r="W161" s="42">
        <f t="shared" si="41"/>
        <v>6965643.9900000002</v>
      </c>
      <c r="X161" s="165">
        <v>2016</v>
      </c>
      <c r="Y161" s="165">
        <v>2016</v>
      </c>
      <c r="Z161" s="155">
        <f t="shared" si="38"/>
        <v>40</v>
      </c>
      <c r="AA161" s="155">
        <f t="shared" si="39"/>
        <v>7</v>
      </c>
    </row>
    <row r="162" spans="1:27" s="118" customFormat="1" ht="15.6" x14ac:dyDescent="0.25">
      <c r="A162" s="165">
        <f t="shared" si="35"/>
        <v>128</v>
      </c>
      <c r="B162" s="24" t="s">
        <v>454</v>
      </c>
      <c r="C162" s="142">
        <v>1961</v>
      </c>
      <c r="D162" s="165"/>
      <c r="E162" s="45">
        <f>994.7+20.4</f>
        <v>1015.1</v>
      </c>
      <c r="F162" s="45">
        <v>994.7</v>
      </c>
      <c r="G162" s="42">
        <f t="shared" si="36"/>
        <v>1586665.86</v>
      </c>
      <c r="H162" s="35">
        <v>0</v>
      </c>
      <c r="I162" s="35"/>
      <c r="J162" s="35">
        <v>0</v>
      </c>
      <c r="K162" s="42">
        <v>1586665.86</v>
      </c>
      <c r="L162" s="35"/>
      <c r="M162" s="35">
        <v>0</v>
      </c>
      <c r="N162" s="35"/>
      <c r="O162" s="35">
        <v>0</v>
      </c>
      <c r="P162" s="35"/>
      <c r="Q162" s="35">
        <v>0</v>
      </c>
      <c r="R162" s="35"/>
      <c r="S162" s="35">
        <v>0</v>
      </c>
      <c r="T162" s="35">
        <v>0</v>
      </c>
      <c r="U162" s="35">
        <v>0</v>
      </c>
      <c r="V162" s="35">
        <v>0</v>
      </c>
      <c r="W162" s="42">
        <f t="shared" si="41"/>
        <v>1586665.86</v>
      </c>
      <c r="X162" s="165">
        <v>2016</v>
      </c>
      <c r="Y162" s="165">
        <v>2016</v>
      </c>
      <c r="Z162" s="155">
        <f t="shared" si="38"/>
        <v>41</v>
      </c>
      <c r="AA162" s="155">
        <f t="shared" si="39"/>
        <v>8</v>
      </c>
    </row>
    <row r="163" spans="1:27" s="118" customFormat="1" ht="15.6" x14ac:dyDescent="0.25">
      <c r="A163" s="165">
        <f t="shared" si="35"/>
        <v>129</v>
      </c>
      <c r="B163" s="24" t="s">
        <v>308</v>
      </c>
      <c r="C163" s="142">
        <v>1960</v>
      </c>
      <c r="D163" s="165"/>
      <c r="E163" s="45">
        <v>652</v>
      </c>
      <c r="F163" s="45">
        <v>561</v>
      </c>
      <c r="G163" s="42">
        <f t="shared" si="36"/>
        <v>2233206.3600000003</v>
      </c>
      <c r="H163" s="35">
        <v>0</v>
      </c>
      <c r="I163" s="35"/>
      <c r="J163" s="35">
        <v>0</v>
      </c>
      <c r="K163" s="42">
        <f>F163*3980.76</f>
        <v>2233206.3600000003</v>
      </c>
      <c r="L163" s="35">
        <f>K163/F163</f>
        <v>3980.7600000000007</v>
      </c>
      <c r="M163" s="35">
        <v>0</v>
      </c>
      <c r="N163" s="35"/>
      <c r="O163" s="35">
        <v>0</v>
      </c>
      <c r="P163" s="35"/>
      <c r="Q163" s="35">
        <v>0</v>
      </c>
      <c r="R163" s="35"/>
      <c r="S163" s="35">
        <v>0</v>
      </c>
      <c r="T163" s="35">
        <v>0</v>
      </c>
      <c r="U163" s="35">
        <v>0</v>
      </c>
      <c r="V163" s="35">
        <v>0</v>
      </c>
      <c r="W163" s="42">
        <f t="shared" si="41"/>
        <v>2233206.3600000003</v>
      </c>
      <c r="X163" s="165">
        <v>2016</v>
      </c>
      <c r="Y163" s="165">
        <v>2016</v>
      </c>
      <c r="Z163" s="155">
        <f t="shared" si="38"/>
        <v>42</v>
      </c>
      <c r="AA163" s="155">
        <f t="shared" si="39"/>
        <v>9</v>
      </c>
    </row>
    <row r="164" spans="1:27" s="118" customFormat="1" ht="15.6" x14ac:dyDescent="0.25">
      <c r="A164" s="165">
        <f t="shared" si="35"/>
        <v>130</v>
      </c>
      <c r="B164" s="24" t="s">
        <v>452</v>
      </c>
      <c r="C164" s="142">
        <v>1949</v>
      </c>
      <c r="D164" s="47"/>
      <c r="E164" s="121">
        <f>469.9+9</f>
        <v>478.9</v>
      </c>
      <c r="F164" s="45">
        <f>469.9</f>
        <v>469.9</v>
      </c>
      <c r="G164" s="42">
        <f t="shared" si="36"/>
        <v>1870559.59</v>
      </c>
      <c r="H164" s="42">
        <v>0</v>
      </c>
      <c r="I164" s="42"/>
      <c r="J164" s="42">
        <v>0</v>
      </c>
      <c r="K164" s="42">
        <f>ROUND(469.9*3980.761,2)</f>
        <v>1870559.59</v>
      </c>
      <c r="L164" s="35">
        <f>K164/F164</f>
        <v>3980.760991700362</v>
      </c>
      <c r="M164" s="42">
        <v>0</v>
      </c>
      <c r="N164" s="42"/>
      <c r="O164" s="42">
        <v>0</v>
      </c>
      <c r="P164" s="42"/>
      <c r="Q164" s="42">
        <v>0</v>
      </c>
      <c r="R164" s="42"/>
      <c r="S164" s="42">
        <v>0</v>
      </c>
      <c r="T164" s="42">
        <v>0</v>
      </c>
      <c r="U164" s="42">
        <v>0</v>
      </c>
      <c r="V164" s="42">
        <v>0</v>
      </c>
      <c r="W164" s="42">
        <f t="shared" si="41"/>
        <v>1870559.59</v>
      </c>
      <c r="X164" s="165">
        <v>2015</v>
      </c>
      <c r="Y164" s="165">
        <v>2016</v>
      </c>
      <c r="Z164" s="155">
        <f t="shared" si="38"/>
        <v>43</v>
      </c>
      <c r="AA164" s="155">
        <f t="shared" si="39"/>
        <v>10</v>
      </c>
    </row>
    <row r="165" spans="1:27" s="118" customFormat="1" ht="18.75" customHeight="1" x14ac:dyDescent="0.25">
      <c r="A165" s="165">
        <f t="shared" si="35"/>
        <v>131</v>
      </c>
      <c r="B165" s="24" t="s">
        <v>451</v>
      </c>
      <c r="C165" s="142">
        <v>1973</v>
      </c>
      <c r="D165" s="47"/>
      <c r="E165" s="121">
        <v>2525.5</v>
      </c>
      <c r="F165" s="45">
        <v>1775</v>
      </c>
      <c r="G165" s="42">
        <f t="shared" si="36"/>
        <v>2458664.9500000002</v>
      </c>
      <c r="H165" s="42">
        <v>0</v>
      </c>
      <c r="I165" s="42"/>
      <c r="J165" s="42">
        <v>0</v>
      </c>
      <c r="K165" s="42">
        <v>2458664.9500000002</v>
      </c>
      <c r="L165" s="35">
        <f>K165/F165</f>
        <v>1385.1633521126762</v>
      </c>
      <c r="M165" s="42">
        <v>0</v>
      </c>
      <c r="N165" s="42"/>
      <c r="O165" s="42">
        <v>0</v>
      </c>
      <c r="P165" s="42"/>
      <c r="Q165" s="42">
        <v>0</v>
      </c>
      <c r="R165" s="42"/>
      <c r="S165" s="42">
        <v>0</v>
      </c>
      <c r="T165" s="42">
        <v>0</v>
      </c>
      <c r="U165" s="42">
        <v>0</v>
      </c>
      <c r="V165" s="42">
        <v>0</v>
      </c>
      <c r="W165" s="42">
        <f t="shared" si="41"/>
        <v>2458664.9500000002</v>
      </c>
      <c r="X165" s="165">
        <v>2015</v>
      </c>
      <c r="Y165" s="165">
        <v>2016</v>
      </c>
      <c r="Z165" s="155">
        <f t="shared" si="38"/>
        <v>44</v>
      </c>
      <c r="AA165" s="155">
        <f t="shared" si="39"/>
        <v>11</v>
      </c>
    </row>
    <row r="166" spans="1:27" s="118" customFormat="1" ht="18" customHeight="1" x14ac:dyDescent="0.25">
      <c r="A166" s="165">
        <f t="shared" si="35"/>
        <v>132</v>
      </c>
      <c r="B166" s="24" t="s">
        <v>453</v>
      </c>
      <c r="C166" s="142">
        <v>1975</v>
      </c>
      <c r="D166" s="165"/>
      <c r="E166" s="45">
        <v>3021.6</v>
      </c>
      <c r="F166" s="45">
        <v>2500.3000000000002</v>
      </c>
      <c r="G166" s="42">
        <f t="shared" si="36"/>
        <v>2321928.6</v>
      </c>
      <c r="H166" s="35">
        <v>0</v>
      </c>
      <c r="I166" s="35"/>
      <c r="J166" s="35">
        <v>0</v>
      </c>
      <c r="K166" s="42">
        <v>2321928.6</v>
      </c>
      <c r="L166" s="35"/>
      <c r="M166" s="35">
        <v>0</v>
      </c>
      <c r="N166" s="35"/>
      <c r="O166" s="35">
        <v>0</v>
      </c>
      <c r="P166" s="35"/>
      <c r="Q166" s="35">
        <v>0</v>
      </c>
      <c r="R166" s="35"/>
      <c r="S166" s="35">
        <v>0</v>
      </c>
      <c r="T166" s="35">
        <v>0</v>
      </c>
      <c r="U166" s="35">
        <v>0</v>
      </c>
      <c r="V166" s="35">
        <v>0</v>
      </c>
      <c r="W166" s="42">
        <f t="shared" si="41"/>
        <v>2321928.6</v>
      </c>
      <c r="X166" s="165">
        <v>2016</v>
      </c>
      <c r="Y166" s="165">
        <v>2016</v>
      </c>
      <c r="Z166" s="155">
        <f t="shared" si="38"/>
        <v>45</v>
      </c>
      <c r="AA166" s="155">
        <f t="shared" si="39"/>
        <v>12</v>
      </c>
    </row>
    <row r="167" spans="1:27" s="118" customFormat="1" ht="18.75" customHeight="1" x14ac:dyDescent="0.25">
      <c r="A167" s="165">
        <f t="shared" si="35"/>
        <v>133</v>
      </c>
      <c r="B167" s="24" t="s">
        <v>309</v>
      </c>
      <c r="C167" s="142">
        <v>1981</v>
      </c>
      <c r="D167" s="165"/>
      <c r="E167" s="45">
        <v>7703.2</v>
      </c>
      <c r="F167" s="45">
        <v>7223.2</v>
      </c>
      <c r="G167" s="42">
        <f t="shared" si="36"/>
        <v>4021580.94</v>
      </c>
      <c r="H167" s="35">
        <v>0</v>
      </c>
      <c r="I167" s="35"/>
      <c r="J167" s="35">
        <f>8043161.88/2</f>
        <v>4021580.94</v>
      </c>
      <c r="K167" s="35">
        <v>0</v>
      </c>
      <c r="L167" s="35">
        <f t="shared" ref="L167:L199" si="42">K167/F167</f>
        <v>0</v>
      </c>
      <c r="M167" s="35">
        <v>0</v>
      </c>
      <c r="N167" s="35"/>
      <c r="O167" s="35">
        <v>0</v>
      </c>
      <c r="P167" s="35"/>
      <c r="Q167" s="35">
        <v>0</v>
      </c>
      <c r="R167" s="35"/>
      <c r="S167" s="35">
        <v>0</v>
      </c>
      <c r="T167" s="35">
        <v>0</v>
      </c>
      <c r="U167" s="35">
        <v>0</v>
      </c>
      <c r="V167" s="35">
        <v>0</v>
      </c>
      <c r="W167" s="42">
        <f t="shared" si="41"/>
        <v>4021580.94</v>
      </c>
      <c r="X167" s="165">
        <v>2016</v>
      </c>
      <c r="Y167" s="165">
        <v>2016</v>
      </c>
      <c r="Z167" s="155">
        <f t="shared" si="38"/>
        <v>46</v>
      </c>
      <c r="AA167" s="155">
        <f t="shared" si="39"/>
        <v>13</v>
      </c>
    </row>
    <row r="168" spans="1:27" s="118" customFormat="1" ht="18" customHeight="1" x14ac:dyDescent="0.25">
      <c r="A168" s="165">
        <f t="shared" si="35"/>
        <v>134</v>
      </c>
      <c r="B168" s="24" t="s">
        <v>310</v>
      </c>
      <c r="C168" s="142">
        <v>1951</v>
      </c>
      <c r="D168" s="165"/>
      <c r="E168" s="45">
        <f>838.1+20.4</f>
        <v>858.5</v>
      </c>
      <c r="F168" s="45">
        <v>838.1</v>
      </c>
      <c r="G168" s="42">
        <f t="shared" si="36"/>
        <v>3336274.9560000002</v>
      </c>
      <c r="H168" s="35">
        <v>0</v>
      </c>
      <c r="I168" s="35"/>
      <c r="J168" s="35">
        <v>0</v>
      </c>
      <c r="K168" s="42">
        <f>F168*3980.76</f>
        <v>3336274.9560000002</v>
      </c>
      <c r="L168" s="35">
        <f t="shared" si="42"/>
        <v>3980.76</v>
      </c>
      <c r="M168" s="35">
        <v>0</v>
      </c>
      <c r="N168" s="35"/>
      <c r="O168" s="35">
        <v>0</v>
      </c>
      <c r="P168" s="35"/>
      <c r="Q168" s="35">
        <v>0</v>
      </c>
      <c r="R168" s="35"/>
      <c r="S168" s="35">
        <v>0</v>
      </c>
      <c r="T168" s="35">
        <v>0</v>
      </c>
      <c r="U168" s="35">
        <v>0</v>
      </c>
      <c r="V168" s="35">
        <v>0</v>
      </c>
      <c r="W168" s="42">
        <f t="shared" si="41"/>
        <v>3336274.9560000002</v>
      </c>
      <c r="X168" s="165">
        <v>2016</v>
      </c>
      <c r="Y168" s="165">
        <v>2016</v>
      </c>
      <c r="Z168" s="155">
        <f t="shared" si="38"/>
        <v>47</v>
      </c>
      <c r="AA168" s="155">
        <f t="shared" si="39"/>
        <v>14</v>
      </c>
    </row>
    <row r="169" spans="1:27" s="118" customFormat="1" ht="18" customHeight="1" x14ac:dyDescent="0.25">
      <c r="A169" s="165">
        <f t="shared" si="35"/>
        <v>135</v>
      </c>
      <c r="B169" s="24" t="s">
        <v>311</v>
      </c>
      <c r="C169" s="142">
        <v>1971</v>
      </c>
      <c r="D169" s="165"/>
      <c r="E169" s="45">
        <v>3896.2</v>
      </c>
      <c r="F169" s="45">
        <v>3865.5</v>
      </c>
      <c r="G169" s="42">
        <f t="shared" si="36"/>
        <v>2355558.39</v>
      </c>
      <c r="H169" s="35">
        <v>0</v>
      </c>
      <c r="I169" s="35"/>
      <c r="J169" s="35">
        <v>0</v>
      </c>
      <c r="K169" s="42">
        <v>2355558.39</v>
      </c>
      <c r="L169" s="35">
        <f t="shared" si="42"/>
        <v>609.38</v>
      </c>
      <c r="M169" s="35">
        <v>0</v>
      </c>
      <c r="N169" s="35"/>
      <c r="O169" s="35">
        <v>0</v>
      </c>
      <c r="P169" s="35"/>
      <c r="Q169" s="35">
        <v>0</v>
      </c>
      <c r="R169" s="35"/>
      <c r="S169" s="35">
        <v>0</v>
      </c>
      <c r="T169" s="35">
        <v>0</v>
      </c>
      <c r="U169" s="35">
        <v>0</v>
      </c>
      <c r="V169" s="35">
        <v>0</v>
      </c>
      <c r="W169" s="42">
        <f t="shared" si="41"/>
        <v>2355558.39</v>
      </c>
      <c r="X169" s="165">
        <v>2016</v>
      </c>
      <c r="Y169" s="165">
        <v>2016</v>
      </c>
      <c r="Z169" s="155">
        <f t="shared" si="38"/>
        <v>48</v>
      </c>
      <c r="AA169" s="155">
        <f t="shared" si="39"/>
        <v>15</v>
      </c>
    </row>
    <row r="170" spans="1:27" s="118" customFormat="1" ht="18" customHeight="1" x14ac:dyDescent="0.25">
      <c r="A170" s="165">
        <f t="shared" si="35"/>
        <v>136</v>
      </c>
      <c r="B170" s="24" t="s">
        <v>312</v>
      </c>
      <c r="C170" s="142">
        <v>1988</v>
      </c>
      <c r="D170" s="165"/>
      <c r="E170" s="45">
        <v>1925.9</v>
      </c>
      <c r="F170" s="45">
        <v>1759.1</v>
      </c>
      <c r="G170" s="42">
        <f t="shared" si="36"/>
        <v>992853.63</v>
      </c>
      <c r="H170" s="35">
        <v>0</v>
      </c>
      <c r="I170" s="35"/>
      <c r="J170" s="35">
        <v>0</v>
      </c>
      <c r="K170" s="42">
        <f>ROUND(564.41*1759.1,2)</f>
        <v>992853.63</v>
      </c>
      <c r="L170" s="35">
        <f t="shared" si="42"/>
        <v>564.40999943152747</v>
      </c>
      <c r="M170" s="35">
        <v>0</v>
      </c>
      <c r="N170" s="35"/>
      <c r="O170" s="35">
        <v>0</v>
      </c>
      <c r="P170" s="35"/>
      <c r="Q170" s="35">
        <v>0</v>
      </c>
      <c r="R170" s="35"/>
      <c r="S170" s="35">
        <v>0</v>
      </c>
      <c r="T170" s="35">
        <v>0</v>
      </c>
      <c r="U170" s="35">
        <v>0</v>
      </c>
      <c r="V170" s="35">
        <v>0</v>
      </c>
      <c r="W170" s="42">
        <f t="shared" si="41"/>
        <v>992853.63</v>
      </c>
      <c r="X170" s="165">
        <v>2016</v>
      </c>
      <c r="Y170" s="165">
        <v>2016</v>
      </c>
      <c r="Z170" s="155">
        <f t="shared" si="38"/>
        <v>49</v>
      </c>
      <c r="AA170" s="155">
        <f t="shared" si="39"/>
        <v>16</v>
      </c>
    </row>
    <row r="171" spans="1:27" s="118" customFormat="1" ht="35.25" customHeight="1" x14ac:dyDescent="0.25">
      <c r="A171" s="165">
        <f t="shared" si="35"/>
        <v>137</v>
      </c>
      <c r="B171" s="24" t="s">
        <v>162</v>
      </c>
      <c r="C171" s="142">
        <v>1976</v>
      </c>
      <c r="D171" s="165"/>
      <c r="E171" s="121">
        <v>1928.6</v>
      </c>
      <c r="F171" s="45">
        <v>1648.5</v>
      </c>
      <c r="G171" s="42">
        <f t="shared" si="36"/>
        <v>278711.90000000002</v>
      </c>
      <c r="H171" s="42">
        <f>ROUND(1648.5*169.07,2)</f>
        <v>278711.90000000002</v>
      </c>
      <c r="I171" s="42">
        <f>H171/F171</f>
        <v>169.07000303306037</v>
      </c>
      <c r="J171" s="124">
        <v>0</v>
      </c>
      <c r="K171" s="124">
        <v>0</v>
      </c>
      <c r="L171" s="35">
        <f t="shared" si="42"/>
        <v>0</v>
      </c>
      <c r="M171" s="124">
        <v>0</v>
      </c>
      <c r="N171" s="124"/>
      <c r="O171" s="124">
        <v>0</v>
      </c>
      <c r="P171" s="35">
        <f>O171/F171</f>
        <v>0</v>
      </c>
      <c r="Q171" s="124">
        <v>0</v>
      </c>
      <c r="R171" s="124"/>
      <c r="S171" s="124">
        <v>0</v>
      </c>
      <c r="T171" s="35">
        <v>0</v>
      </c>
      <c r="U171" s="35">
        <v>0</v>
      </c>
      <c r="V171" s="35">
        <v>0</v>
      </c>
      <c r="W171" s="42">
        <f t="shared" si="41"/>
        <v>278711.90000000002</v>
      </c>
      <c r="X171" s="165">
        <v>2015</v>
      </c>
      <c r="Y171" s="165">
        <v>2016</v>
      </c>
      <c r="Z171" s="155">
        <f t="shared" si="38"/>
        <v>50</v>
      </c>
      <c r="AA171" s="155">
        <f t="shared" si="39"/>
        <v>17</v>
      </c>
    </row>
    <row r="172" spans="1:27" s="118" customFormat="1" ht="18" customHeight="1" x14ac:dyDescent="0.25">
      <c r="A172" s="165">
        <f t="shared" si="35"/>
        <v>138</v>
      </c>
      <c r="B172" s="24" t="s">
        <v>148</v>
      </c>
      <c r="C172" s="142">
        <v>1965</v>
      </c>
      <c r="D172" s="47"/>
      <c r="E172" s="121">
        <f>1589.7+30</f>
        <v>1619.7</v>
      </c>
      <c r="F172" s="45">
        <f>1589.7</f>
        <v>1589.7</v>
      </c>
      <c r="G172" s="42">
        <f t="shared" si="36"/>
        <v>1519943.96</v>
      </c>
      <c r="H172" s="42">
        <v>0</v>
      </c>
      <c r="I172" s="42"/>
      <c r="J172" s="42">
        <v>0</v>
      </c>
      <c r="K172" s="42">
        <f>ROUND(F172*956.12,2)</f>
        <v>1519943.96</v>
      </c>
      <c r="L172" s="35">
        <f t="shared" si="42"/>
        <v>956.11999748380197</v>
      </c>
      <c r="M172" s="42">
        <v>0</v>
      </c>
      <c r="N172" s="42"/>
      <c r="O172" s="42">
        <v>0</v>
      </c>
      <c r="P172" s="42"/>
      <c r="Q172" s="42">
        <v>0</v>
      </c>
      <c r="R172" s="42"/>
      <c r="S172" s="42">
        <v>0</v>
      </c>
      <c r="T172" s="42">
        <v>0</v>
      </c>
      <c r="U172" s="42">
        <v>0</v>
      </c>
      <c r="V172" s="42">
        <v>0</v>
      </c>
      <c r="W172" s="42">
        <f t="shared" si="41"/>
        <v>1519943.96</v>
      </c>
      <c r="X172" s="165">
        <v>2015</v>
      </c>
      <c r="Y172" s="165">
        <v>2016</v>
      </c>
      <c r="Z172" s="155">
        <f t="shared" si="38"/>
        <v>51</v>
      </c>
      <c r="AA172" s="155">
        <f t="shared" si="39"/>
        <v>18</v>
      </c>
    </row>
    <row r="173" spans="1:27" s="118" customFormat="1" ht="18" customHeight="1" x14ac:dyDescent="0.25">
      <c r="A173" s="165">
        <f t="shared" si="35"/>
        <v>139</v>
      </c>
      <c r="B173" s="24" t="s">
        <v>313</v>
      </c>
      <c r="C173" s="142">
        <v>1985</v>
      </c>
      <c r="D173" s="165"/>
      <c r="E173" s="45">
        <v>7910.2</v>
      </c>
      <c r="F173" s="45">
        <v>7860.3</v>
      </c>
      <c r="G173" s="42">
        <f t="shared" si="36"/>
        <v>1328940.92</v>
      </c>
      <c r="H173" s="35">
        <f>ROUND(1328940.921,2)</f>
        <v>1328940.92</v>
      </c>
      <c r="I173" s="42">
        <f>H173/F173</f>
        <v>169.06999987277837</v>
      </c>
      <c r="J173" s="35">
        <v>0</v>
      </c>
      <c r="K173" s="35">
        <v>0</v>
      </c>
      <c r="L173" s="35">
        <f t="shared" si="42"/>
        <v>0</v>
      </c>
      <c r="M173" s="35">
        <v>0</v>
      </c>
      <c r="N173" s="35"/>
      <c r="O173" s="35">
        <v>0</v>
      </c>
      <c r="P173" s="35"/>
      <c r="Q173" s="35">
        <v>0</v>
      </c>
      <c r="R173" s="35"/>
      <c r="S173" s="35">
        <v>0</v>
      </c>
      <c r="T173" s="35">
        <v>0</v>
      </c>
      <c r="U173" s="35">
        <v>0</v>
      </c>
      <c r="V173" s="35">
        <v>0</v>
      </c>
      <c r="W173" s="42">
        <f t="shared" si="41"/>
        <v>1328940.92</v>
      </c>
      <c r="X173" s="165">
        <v>2016</v>
      </c>
      <c r="Y173" s="165">
        <v>2016</v>
      </c>
      <c r="Z173" s="155">
        <f t="shared" si="38"/>
        <v>52</v>
      </c>
      <c r="AA173" s="155">
        <f t="shared" si="39"/>
        <v>19</v>
      </c>
    </row>
    <row r="174" spans="1:27" s="118" customFormat="1" ht="18" customHeight="1" x14ac:dyDescent="0.25">
      <c r="A174" s="165">
        <f t="shared" si="35"/>
        <v>140</v>
      </c>
      <c r="B174" s="24" t="s">
        <v>315</v>
      </c>
      <c r="C174" s="142">
        <v>1987</v>
      </c>
      <c r="D174" s="165"/>
      <c r="E174" s="45">
        <v>6770.3</v>
      </c>
      <c r="F174" s="45">
        <v>6322.1</v>
      </c>
      <c r="G174" s="42">
        <f t="shared" si="36"/>
        <v>1068877.45</v>
      </c>
      <c r="H174" s="35">
        <f>ROUND(1068877.447,2)</f>
        <v>1068877.45</v>
      </c>
      <c r="I174" s="42">
        <f>H174/F174</f>
        <v>169.07000047452584</v>
      </c>
      <c r="J174" s="35">
        <v>0</v>
      </c>
      <c r="K174" s="35">
        <v>0</v>
      </c>
      <c r="L174" s="35">
        <f t="shared" si="42"/>
        <v>0</v>
      </c>
      <c r="M174" s="35">
        <v>0</v>
      </c>
      <c r="N174" s="35"/>
      <c r="O174" s="35">
        <v>0</v>
      </c>
      <c r="P174" s="35"/>
      <c r="Q174" s="35">
        <v>0</v>
      </c>
      <c r="R174" s="35"/>
      <c r="S174" s="35">
        <v>0</v>
      </c>
      <c r="T174" s="35">
        <v>0</v>
      </c>
      <c r="U174" s="35">
        <v>0</v>
      </c>
      <c r="V174" s="35">
        <v>0</v>
      </c>
      <c r="W174" s="42">
        <f t="shared" si="41"/>
        <v>1068877.45</v>
      </c>
      <c r="X174" s="165">
        <v>2016</v>
      </c>
      <c r="Y174" s="165">
        <v>2016</v>
      </c>
      <c r="Z174" s="155">
        <f t="shared" si="38"/>
        <v>53</v>
      </c>
      <c r="AA174" s="155">
        <f t="shared" si="39"/>
        <v>20</v>
      </c>
    </row>
    <row r="175" spans="1:27" s="118" customFormat="1" ht="15.6" x14ac:dyDescent="0.25">
      <c r="A175" s="165">
        <f t="shared" si="35"/>
        <v>141</v>
      </c>
      <c r="B175" s="24" t="s">
        <v>314</v>
      </c>
      <c r="C175" s="142">
        <v>1942</v>
      </c>
      <c r="D175" s="165"/>
      <c r="E175" s="45">
        <v>4530.6000000000004</v>
      </c>
      <c r="F175" s="45">
        <v>3121.1</v>
      </c>
      <c r="G175" s="42">
        <f t="shared" si="36"/>
        <v>4978809.93</v>
      </c>
      <c r="H175" s="35">
        <v>0</v>
      </c>
      <c r="I175" s="35"/>
      <c r="J175" s="35">
        <v>0</v>
      </c>
      <c r="K175" s="42">
        <v>4978809.93</v>
      </c>
      <c r="L175" s="35">
        <f t="shared" si="42"/>
        <v>1595.2099996796001</v>
      </c>
      <c r="M175" s="35">
        <v>0</v>
      </c>
      <c r="N175" s="35"/>
      <c r="O175" s="35">
        <v>0</v>
      </c>
      <c r="P175" s="35"/>
      <c r="Q175" s="35">
        <v>0</v>
      </c>
      <c r="R175" s="35"/>
      <c r="S175" s="35">
        <v>0</v>
      </c>
      <c r="T175" s="35">
        <v>0</v>
      </c>
      <c r="U175" s="35">
        <v>0</v>
      </c>
      <c r="V175" s="35">
        <v>0</v>
      </c>
      <c r="W175" s="42">
        <f t="shared" si="41"/>
        <v>4978809.93</v>
      </c>
      <c r="X175" s="165">
        <v>2016</v>
      </c>
      <c r="Y175" s="165">
        <v>2016</v>
      </c>
      <c r="Z175" s="155">
        <f t="shared" si="38"/>
        <v>54</v>
      </c>
      <c r="AA175" s="155">
        <f t="shared" si="39"/>
        <v>21</v>
      </c>
    </row>
    <row r="176" spans="1:27" s="118" customFormat="1" ht="18" customHeight="1" x14ac:dyDescent="0.25">
      <c r="A176" s="165">
        <f t="shared" si="35"/>
        <v>142</v>
      </c>
      <c r="B176" s="24" t="s">
        <v>153</v>
      </c>
      <c r="C176" s="142">
        <v>1962</v>
      </c>
      <c r="D176" s="47"/>
      <c r="E176" s="121">
        <v>3053</v>
      </c>
      <c r="F176" s="45">
        <v>3028.2</v>
      </c>
      <c r="G176" s="42">
        <f t="shared" si="36"/>
        <v>3115565.55</v>
      </c>
      <c r="H176" s="42">
        <v>0</v>
      </c>
      <c r="I176" s="42"/>
      <c r="J176" s="42">
        <v>0</v>
      </c>
      <c r="K176" s="42">
        <v>3115565.55</v>
      </c>
      <c r="L176" s="35">
        <f t="shared" si="42"/>
        <v>1028.8506538537745</v>
      </c>
      <c r="M176" s="42">
        <v>0</v>
      </c>
      <c r="N176" s="42"/>
      <c r="O176" s="42">
        <v>0</v>
      </c>
      <c r="P176" s="42"/>
      <c r="Q176" s="42">
        <v>0</v>
      </c>
      <c r="R176" s="42"/>
      <c r="S176" s="42">
        <v>0</v>
      </c>
      <c r="T176" s="42">
        <v>0</v>
      </c>
      <c r="U176" s="42">
        <v>0</v>
      </c>
      <c r="V176" s="42">
        <v>0</v>
      </c>
      <c r="W176" s="42">
        <f t="shared" si="41"/>
        <v>3115565.55</v>
      </c>
      <c r="X176" s="165">
        <v>2015</v>
      </c>
      <c r="Y176" s="165">
        <v>2016</v>
      </c>
      <c r="Z176" s="155">
        <f t="shared" si="38"/>
        <v>55</v>
      </c>
      <c r="AA176" s="155">
        <f t="shared" si="39"/>
        <v>22</v>
      </c>
    </row>
    <row r="177" spans="1:27" s="118" customFormat="1" ht="18" customHeight="1" x14ac:dyDescent="0.25">
      <c r="A177" s="165">
        <f t="shared" si="35"/>
        <v>143</v>
      </c>
      <c r="B177" s="24" t="s">
        <v>151</v>
      </c>
      <c r="C177" s="142">
        <v>1962</v>
      </c>
      <c r="D177" s="47"/>
      <c r="E177" s="121">
        <v>886.2</v>
      </c>
      <c r="F177" s="45">
        <v>827.5</v>
      </c>
      <c r="G177" s="42">
        <f t="shared" si="36"/>
        <v>2040150</v>
      </c>
      <c r="H177" s="42">
        <v>0</v>
      </c>
      <c r="I177" s="42"/>
      <c r="J177" s="42">
        <v>0</v>
      </c>
      <c r="K177" s="42">
        <v>2040150</v>
      </c>
      <c r="L177" s="35">
        <f t="shared" si="42"/>
        <v>2465.4380664652567</v>
      </c>
      <c r="M177" s="42">
        <v>0</v>
      </c>
      <c r="N177" s="42"/>
      <c r="O177" s="42">
        <v>0</v>
      </c>
      <c r="P177" s="42"/>
      <c r="Q177" s="42">
        <v>0</v>
      </c>
      <c r="R177" s="42"/>
      <c r="S177" s="42">
        <v>0</v>
      </c>
      <c r="T177" s="42">
        <v>0</v>
      </c>
      <c r="U177" s="42">
        <v>0</v>
      </c>
      <c r="V177" s="42">
        <v>0</v>
      </c>
      <c r="W177" s="42">
        <f t="shared" si="41"/>
        <v>2040150</v>
      </c>
      <c r="X177" s="165">
        <v>2015</v>
      </c>
      <c r="Y177" s="165">
        <v>2016</v>
      </c>
      <c r="Z177" s="155">
        <f t="shared" si="38"/>
        <v>56</v>
      </c>
      <c r="AA177" s="155">
        <f t="shared" si="39"/>
        <v>23</v>
      </c>
    </row>
    <row r="178" spans="1:27" s="118" customFormat="1" ht="18" customHeight="1" x14ac:dyDescent="0.25">
      <c r="A178" s="165">
        <f t="shared" si="35"/>
        <v>144</v>
      </c>
      <c r="B178" s="24" t="s">
        <v>317</v>
      </c>
      <c r="C178" s="142">
        <v>1958</v>
      </c>
      <c r="D178" s="165"/>
      <c r="E178" s="45">
        <v>4889.8</v>
      </c>
      <c r="F178" s="45">
        <v>3613.9</v>
      </c>
      <c r="G178" s="42">
        <f t="shared" si="36"/>
        <v>5764929.4199999999</v>
      </c>
      <c r="H178" s="35">
        <v>0</v>
      </c>
      <c r="I178" s="42">
        <f>H178/F178</f>
        <v>0</v>
      </c>
      <c r="J178" s="35">
        <v>0</v>
      </c>
      <c r="K178" s="42">
        <v>5764929.4199999999</v>
      </c>
      <c r="L178" s="35">
        <f t="shared" si="42"/>
        <v>1595.2100002767093</v>
      </c>
      <c r="M178" s="35">
        <v>0</v>
      </c>
      <c r="N178" s="35"/>
      <c r="O178" s="35">
        <v>0</v>
      </c>
      <c r="P178" s="35"/>
      <c r="Q178" s="35">
        <v>0</v>
      </c>
      <c r="R178" s="35"/>
      <c r="S178" s="35">
        <v>0</v>
      </c>
      <c r="T178" s="35">
        <v>0</v>
      </c>
      <c r="U178" s="35">
        <v>0</v>
      </c>
      <c r="V178" s="35">
        <v>0</v>
      </c>
      <c r="W178" s="42">
        <f t="shared" si="41"/>
        <v>5764929.4199999999</v>
      </c>
      <c r="X178" s="165">
        <v>2016</v>
      </c>
      <c r="Y178" s="165">
        <v>2016</v>
      </c>
      <c r="Z178" s="155">
        <f t="shared" si="38"/>
        <v>57</v>
      </c>
      <c r="AA178" s="155">
        <f t="shared" si="39"/>
        <v>24</v>
      </c>
    </row>
    <row r="179" spans="1:27" s="118" customFormat="1" ht="18" customHeight="1" x14ac:dyDescent="0.25">
      <c r="A179" s="165">
        <f t="shared" si="35"/>
        <v>145</v>
      </c>
      <c r="B179" s="24" t="s">
        <v>155</v>
      </c>
      <c r="C179" s="142">
        <v>1992</v>
      </c>
      <c r="D179" s="47"/>
      <c r="E179" s="121">
        <v>2411.9</v>
      </c>
      <c r="F179" s="45">
        <v>2375.6999999999998</v>
      </c>
      <c r="G179" s="42">
        <f t="shared" ref="G179:G200" si="43">H179+J179+K179+M179+O179+Q179+S179</f>
        <v>510775.5</v>
      </c>
      <c r="H179" s="42">
        <f>ROUND(215*2375.7,2)</f>
        <v>510775.5</v>
      </c>
      <c r="I179" s="42">
        <f>H179/F179</f>
        <v>215.00000000000003</v>
      </c>
      <c r="J179" s="42">
        <v>0</v>
      </c>
      <c r="K179" s="42">
        <v>0</v>
      </c>
      <c r="L179" s="35">
        <f t="shared" si="42"/>
        <v>0</v>
      </c>
      <c r="M179" s="42">
        <v>0</v>
      </c>
      <c r="N179" s="42"/>
      <c r="O179" s="42">
        <v>0</v>
      </c>
      <c r="P179" s="42"/>
      <c r="Q179" s="42">
        <v>0</v>
      </c>
      <c r="R179" s="42"/>
      <c r="S179" s="42">
        <v>0</v>
      </c>
      <c r="T179" s="42">
        <v>0</v>
      </c>
      <c r="U179" s="42">
        <v>0</v>
      </c>
      <c r="V179" s="42">
        <v>0</v>
      </c>
      <c r="W179" s="42">
        <f t="shared" si="41"/>
        <v>510775.5</v>
      </c>
      <c r="X179" s="165">
        <v>2015</v>
      </c>
      <c r="Y179" s="165">
        <v>2016</v>
      </c>
      <c r="Z179" s="155">
        <f t="shared" si="38"/>
        <v>58</v>
      </c>
      <c r="AA179" s="155">
        <f t="shared" si="39"/>
        <v>25</v>
      </c>
    </row>
    <row r="180" spans="1:27" s="118" customFormat="1" ht="18" customHeight="1" x14ac:dyDescent="0.25">
      <c r="A180" s="165">
        <f t="shared" si="35"/>
        <v>146</v>
      </c>
      <c r="B180" s="24" t="s">
        <v>316</v>
      </c>
      <c r="C180" s="142">
        <v>1963</v>
      </c>
      <c r="D180" s="165"/>
      <c r="E180" s="45">
        <v>2551.6</v>
      </c>
      <c r="F180" s="45">
        <v>2344.8000000000002</v>
      </c>
      <c r="G180" s="42">
        <f t="shared" si="43"/>
        <v>504132.00000000006</v>
      </c>
      <c r="H180" s="35">
        <v>504132.00000000006</v>
      </c>
      <c r="I180" s="42">
        <f>H180/F180</f>
        <v>215</v>
      </c>
      <c r="J180" s="35">
        <v>0</v>
      </c>
      <c r="K180" s="35">
        <v>0</v>
      </c>
      <c r="L180" s="35">
        <f t="shared" si="42"/>
        <v>0</v>
      </c>
      <c r="M180" s="35">
        <v>0</v>
      </c>
      <c r="N180" s="35"/>
      <c r="O180" s="35">
        <v>0</v>
      </c>
      <c r="P180" s="35"/>
      <c r="Q180" s="35">
        <v>0</v>
      </c>
      <c r="R180" s="35"/>
      <c r="S180" s="35">
        <v>0</v>
      </c>
      <c r="T180" s="35">
        <v>0</v>
      </c>
      <c r="U180" s="35">
        <v>0</v>
      </c>
      <c r="V180" s="35">
        <v>0</v>
      </c>
      <c r="W180" s="42">
        <f t="shared" si="41"/>
        <v>504132.00000000006</v>
      </c>
      <c r="X180" s="165">
        <v>2016</v>
      </c>
      <c r="Y180" s="165">
        <v>2016</v>
      </c>
      <c r="Z180" s="155">
        <f t="shared" si="38"/>
        <v>59</v>
      </c>
      <c r="AA180" s="155">
        <f t="shared" si="39"/>
        <v>26</v>
      </c>
    </row>
    <row r="181" spans="1:27" s="118" customFormat="1" ht="18" customHeight="1" x14ac:dyDescent="0.25">
      <c r="A181" s="165">
        <f t="shared" si="35"/>
        <v>147</v>
      </c>
      <c r="B181" s="24" t="s">
        <v>156</v>
      </c>
      <c r="C181" s="142">
        <v>1948</v>
      </c>
      <c r="D181" s="47"/>
      <c r="E181" s="121">
        <v>1027.5</v>
      </c>
      <c r="F181" s="45">
        <f>1027.5-9</f>
        <v>1018.5</v>
      </c>
      <c r="G181" s="42">
        <f t="shared" si="43"/>
        <v>1116500</v>
      </c>
      <c r="H181" s="42">
        <v>0</v>
      </c>
      <c r="I181" s="42"/>
      <c r="J181" s="42">
        <v>0</v>
      </c>
      <c r="K181" s="42">
        <v>1116500</v>
      </c>
      <c r="L181" s="35">
        <f t="shared" si="42"/>
        <v>1096.2199312714777</v>
      </c>
      <c r="M181" s="42">
        <v>0</v>
      </c>
      <c r="N181" s="42"/>
      <c r="O181" s="42">
        <v>0</v>
      </c>
      <c r="P181" s="42"/>
      <c r="Q181" s="42">
        <v>0</v>
      </c>
      <c r="R181" s="42"/>
      <c r="S181" s="42">
        <v>0</v>
      </c>
      <c r="T181" s="42">
        <v>0</v>
      </c>
      <c r="U181" s="42">
        <v>0</v>
      </c>
      <c r="V181" s="42">
        <v>0</v>
      </c>
      <c r="W181" s="42">
        <f t="shared" si="41"/>
        <v>1116500</v>
      </c>
      <c r="X181" s="165">
        <v>2015</v>
      </c>
      <c r="Y181" s="165">
        <v>2016</v>
      </c>
      <c r="Z181" s="155">
        <f t="shared" si="38"/>
        <v>60</v>
      </c>
      <c r="AA181" s="155">
        <f t="shared" si="39"/>
        <v>27</v>
      </c>
    </row>
    <row r="182" spans="1:27" s="118" customFormat="1" ht="18" customHeight="1" x14ac:dyDescent="0.25">
      <c r="A182" s="165">
        <f t="shared" si="35"/>
        <v>148</v>
      </c>
      <c r="B182" s="24" t="s">
        <v>318</v>
      </c>
      <c r="C182" s="142">
        <v>1963</v>
      </c>
      <c r="D182" s="165"/>
      <c r="E182" s="45">
        <v>2998.7</v>
      </c>
      <c r="F182" s="45">
        <v>2982.5</v>
      </c>
      <c r="G182" s="42">
        <f t="shared" si="43"/>
        <v>958724.63</v>
      </c>
      <c r="H182" s="35">
        <f>ROUND(958724.625,2)</f>
        <v>958724.63</v>
      </c>
      <c r="I182" s="42">
        <f>H182/F182</f>
        <v>321.45000167644594</v>
      </c>
      <c r="J182" s="35">
        <v>0</v>
      </c>
      <c r="K182" s="35">
        <v>0</v>
      </c>
      <c r="L182" s="35">
        <f t="shared" si="42"/>
        <v>0</v>
      </c>
      <c r="M182" s="35">
        <v>0</v>
      </c>
      <c r="N182" s="35"/>
      <c r="O182" s="35">
        <v>0</v>
      </c>
      <c r="P182" s="35"/>
      <c r="Q182" s="35">
        <v>0</v>
      </c>
      <c r="R182" s="35"/>
      <c r="S182" s="35">
        <v>0</v>
      </c>
      <c r="T182" s="35">
        <v>0</v>
      </c>
      <c r="U182" s="35">
        <v>0</v>
      </c>
      <c r="V182" s="35">
        <v>0</v>
      </c>
      <c r="W182" s="42">
        <f t="shared" si="41"/>
        <v>958724.63</v>
      </c>
      <c r="X182" s="165">
        <v>2016</v>
      </c>
      <c r="Y182" s="165">
        <v>2016</v>
      </c>
      <c r="Z182" s="155">
        <f t="shared" si="38"/>
        <v>61</v>
      </c>
      <c r="AA182" s="155">
        <f t="shared" si="39"/>
        <v>28</v>
      </c>
    </row>
    <row r="183" spans="1:27" s="118" customFormat="1" ht="18" customHeight="1" x14ac:dyDescent="0.25">
      <c r="A183" s="165">
        <f t="shared" si="35"/>
        <v>149</v>
      </c>
      <c r="B183" s="24" t="s">
        <v>319</v>
      </c>
      <c r="C183" s="142">
        <v>1963</v>
      </c>
      <c r="D183" s="165"/>
      <c r="E183" s="45">
        <v>3807</v>
      </c>
      <c r="F183" s="45">
        <v>3208.3</v>
      </c>
      <c r="G183" s="42">
        <f t="shared" si="43"/>
        <v>1031308.04</v>
      </c>
      <c r="H183" s="35">
        <v>1031308.04</v>
      </c>
      <c r="I183" s="42">
        <f>H183/F183</f>
        <v>321.45000155845776</v>
      </c>
      <c r="J183" s="35">
        <v>0</v>
      </c>
      <c r="K183" s="35">
        <v>0</v>
      </c>
      <c r="L183" s="35">
        <f t="shared" si="42"/>
        <v>0</v>
      </c>
      <c r="M183" s="35">
        <v>0</v>
      </c>
      <c r="N183" s="35"/>
      <c r="O183" s="35">
        <v>0</v>
      </c>
      <c r="P183" s="35"/>
      <c r="Q183" s="35">
        <v>0</v>
      </c>
      <c r="R183" s="35"/>
      <c r="S183" s="35">
        <v>0</v>
      </c>
      <c r="T183" s="35">
        <v>0</v>
      </c>
      <c r="U183" s="35">
        <v>0</v>
      </c>
      <c r="V183" s="35">
        <v>0</v>
      </c>
      <c r="W183" s="42">
        <f t="shared" si="41"/>
        <v>1031308.04</v>
      </c>
      <c r="X183" s="165">
        <v>2016</v>
      </c>
      <c r="Y183" s="165">
        <v>2016</v>
      </c>
      <c r="Z183" s="155">
        <f t="shared" si="38"/>
        <v>62</v>
      </c>
      <c r="AA183" s="155">
        <f t="shared" si="39"/>
        <v>29</v>
      </c>
    </row>
    <row r="184" spans="1:27" s="118" customFormat="1" ht="18" customHeight="1" x14ac:dyDescent="0.25">
      <c r="A184" s="165">
        <f t="shared" si="35"/>
        <v>150</v>
      </c>
      <c r="B184" s="24" t="s">
        <v>320</v>
      </c>
      <c r="C184" s="142">
        <v>1963</v>
      </c>
      <c r="D184" s="165"/>
      <c r="E184" s="45">
        <v>3033.6</v>
      </c>
      <c r="F184" s="45">
        <v>2791.6</v>
      </c>
      <c r="G184" s="42">
        <f t="shared" si="43"/>
        <v>897359.82</v>
      </c>
      <c r="H184" s="35">
        <v>897359.82</v>
      </c>
      <c r="I184" s="42">
        <f>H184/F184</f>
        <v>321.45</v>
      </c>
      <c r="J184" s="35">
        <v>0</v>
      </c>
      <c r="K184" s="35">
        <v>0</v>
      </c>
      <c r="L184" s="35">
        <f t="shared" si="42"/>
        <v>0</v>
      </c>
      <c r="M184" s="35">
        <v>0</v>
      </c>
      <c r="N184" s="35"/>
      <c r="O184" s="35">
        <v>0</v>
      </c>
      <c r="P184" s="35"/>
      <c r="Q184" s="35">
        <v>0</v>
      </c>
      <c r="R184" s="35"/>
      <c r="S184" s="35">
        <v>0</v>
      </c>
      <c r="T184" s="35">
        <v>0</v>
      </c>
      <c r="U184" s="35">
        <v>0</v>
      </c>
      <c r="V184" s="35">
        <v>0</v>
      </c>
      <c r="W184" s="42">
        <f t="shared" si="41"/>
        <v>897359.82</v>
      </c>
      <c r="X184" s="165">
        <v>2016</v>
      </c>
      <c r="Y184" s="165">
        <v>2016</v>
      </c>
      <c r="Z184" s="155">
        <f t="shared" si="38"/>
        <v>63</v>
      </c>
      <c r="AA184" s="155">
        <f t="shared" si="39"/>
        <v>30</v>
      </c>
    </row>
    <row r="185" spans="1:27" s="118" customFormat="1" ht="18" customHeight="1" x14ac:dyDescent="0.25">
      <c r="A185" s="165">
        <f t="shared" si="35"/>
        <v>151</v>
      </c>
      <c r="B185" s="24" t="s">
        <v>321</v>
      </c>
      <c r="C185" s="142">
        <v>1964</v>
      </c>
      <c r="D185" s="165"/>
      <c r="E185" s="45">
        <v>3220.7</v>
      </c>
      <c r="F185" s="45">
        <v>2654.6</v>
      </c>
      <c r="G185" s="42">
        <f t="shared" si="43"/>
        <v>4234644.47</v>
      </c>
      <c r="H185" s="35">
        <v>0</v>
      </c>
      <c r="I185" s="35"/>
      <c r="J185" s="35">
        <v>0</v>
      </c>
      <c r="K185" s="42">
        <v>4234644.47</v>
      </c>
      <c r="L185" s="35">
        <f t="shared" si="42"/>
        <v>1595.2100015068183</v>
      </c>
      <c r="M185" s="35">
        <v>0</v>
      </c>
      <c r="N185" s="35"/>
      <c r="O185" s="35">
        <v>0</v>
      </c>
      <c r="P185" s="35"/>
      <c r="Q185" s="35">
        <v>0</v>
      </c>
      <c r="R185" s="35"/>
      <c r="S185" s="35">
        <v>0</v>
      </c>
      <c r="T185" s="35">
        <v>0</v>
      </c>
      <c r="U185" s="35">
        <v>0</v>
      </c>
      <c r="V185" s="35">
        <v>0</v>
      </c>
      <c r="W185" s="42">
        <f t="shared" si="41"/>
        <v>4234644.47</v>
      </c>
      <c r="X185" s="165">
        <v>2016</v>
      </c>
      <c r="Y185" s="165">
        <v>2016</v>
      </c>
      <c r="Z185" s="155">
        <f t="shared" si="38"/>
        <v>64</v>
      </c>
      <c r="AA185" s="155">
        <f t="shared" si="39"/>
        <v>31</v>
      </c>
    </row>
    <row r="186" spans="1:27" s="118" customFormat="1" ht="18" customHeight="1" x14ac:dyDescent="0.25">
      <c r="A186" s="165">
        <f t="shared" si="35"/>
        <v>152</v>
      </c>
      <c r="B186" s="24" t="s">
        <v>322</v>
      </c>
      <c r="C186" s="142">
        <v>1967</v>
      </c>
      <c r="D186" s="165"/>
      <c r="E186" s="45">
        <v>5247.7</v>
      </c>
      <c r="F186" s="45">
        <v>4826</v>
      </c>
      <c r="G186" s="42">
        <f t="shared" si="43"/>
        <v>4413570.04</v>
      </c>
      <c r="H186" s="35">
        <v>0</v>
      </c>
      <c r="I186" s="35"/>
      <c r="J186" s="35">
        <v>0</v>
      </c>
      <c r="K186" s="42">
        <v>4413570.04</v>
      </c>
      <c r="L186" s="35">
        <f t="shared" si="42"/>
        <v>914.54</v>
      </c>
      <c r="M186" s="35">
        <v>0</v>
      </c>
      <c r="N186" s="35"/>
      <c r="O186" s="35">
        <v>0</v>
      </c>
      <c r="P186" s="35"/>
      <c r="Q186" s="35">
        <v>0</v>
      </c>
      <c r="R186" s="35"/>
      <c r="S186" s="35">
        <v>0</v>
      </c>
      <c r="T186" s="35">
        <v>0</v>
      </c>
      <c r="U186" s="35">
        <v>0</v>
      </c>
      <c r="V186" s="35">
        <v>0</v>
      </c>
      <c r="W186" s="42">
        <f t="shared" si="41"/>
        <v>4413570.04</v>
      </c>
      <c r="X186" s="165">
        <v>2016</v>
      </c>
      <c r="Y186" s="165">
        <v>2016</v>
      </c>
      <c r="Z186" s="155">
        <f t="shared" si="38"/>
        <v>65</v>
      </c>
      <c r="AA186" s="155">
        <f t="shared" si="39"/>
        <v>32</v>
      </c>
    </row>
    <row r="187" spans="1:27" s="118" customFormat="1" ht="18" customHeight="1" x14ac:dyDescent="0.25">
      <c r="A187" s="165">
        <f t="shared" si="35"/>
        <v>153</v>
      </c>
      <c r="B187" s="24" t="s">
        <v>323</v>
      </c>
      <c r="C187" s="142">
        <v>1978</v>
      </c>
      <c r="D187" s="165"/>
      <c r="E187" s="45">
        <v>3126.2</v>
      </c>
      <c r="F187" s="45">
        <v>2942.6</v>
      </c>
      <c r="G187" s="42">
        <f t="shared" si="43"/>
        <v>2691125.4</v>
      </c>
      <c r="H187" s="35">
        <v>0</v>
      </c>
      <c r="I187" s="35"/>
      <c r="J187" s="35">
        <v>0</v>
      </c>
      <c r="K187" s="42">
        <v>2691125.4</v>
      </c>
      <c r="L187" s="35">
        <f t="shared" si="42"/>
        <v>914.53999864065793</v>
      </c>
      <c r="M187" s="35">
        <v>0</v>
      </c>
      <c r="N187" s="35"/>
      <c r="O187" s="35">
        <v>0</v>
      </c>
      <c r="P187" s="35"/>
      <c r="Q187" s="35">
        <v>0</v>
      </c>
      <c r="R187" s="35"/>
      <c r="S187" s="35">
        <v>0</v>
      </c>
      <c r="T187" s="35">
        <v>0</v>
      </c>
      <c r="U187" s="35">
        <v>0</v>
      </c>
      <c r="V187" s="35">
        <v>0</v>
      </c>
      <c r="W187" s="42">
        <f t="shared" si="41"/>
        <v>2691125.4</v>
      </c>
      <c r="X187" s="165">
        <v>2016</v>
      </c>
      <c r="Y187" s="165">
        <v>2016</v>
      </c>
      <c r="Z187" s="155">
        <f t="shared" si="38"/>
        <v>66</v>
      </c>
      <c r="AA187" s="155">
        <f t="shared" si="39"/>
        <v>33</v>
      </c>
    </row>
    <row r="188" spans="1:27" s="118" customFormat="1" ht="18" customHeight="1" x14ac:dyDescent="0.25">
      <c r="A188" s="165">
        <f t="shared" si="35"/>
        <v>154</v>
      </c>
      <c r="B188" s="24" t="s">
        <v>324</v>
      </c>
      <c r="C188" s="142">
        <v>1998</v>
      </c>
      <c r="D188" s="165"/>
      <c r="E188" s="45">
        <v>5650.6</v>
      </c>
      <c r="F188" s="45">
        <v>5560.5</v>
      </c>
      <c r="G188" s="42">
        <f t="shared" si="43"/>
        <v>940113.74</v>
      </c>
      <c r="H188" s="35">
        <v>940113.74</v>
      </c>
      <c r="I188" s="42">
        <f>H188/F188</f>
        <v>169.0700008991997</v>
      </c>
      <c r="J188" s="35">
        <v>0</v>
      </c>
      <c r="K188" s="35">
        <v>0</v>
      </c>
      <c r="L188" s="35">
        <f t="shared" si="42"/>
        <v>0</v>
      </c>
      <c r="M188" s="35">
        <v>0</v>
      </c>
      <c r="N188" s="35"/>
      <c r="O188" s="35">
        <v>0</v>
      </c>
      <c r="P188" s="35"/>
      <c r="Q188" s="35">
        <v>0</v>
      </c>
      <c r="R188" s="35"/>
      <c r="S188" s="35">
        <v>0</v>
      </c>
      <c r="T188" s="35">
        <v>0</v>
      </c>
      <c r="U188" s="35">
        <v>0</v>
      </c>
      <c r="V188" s="35">
        <v>0</v>
      </c>
      <c r="W188" s="42">
        <f t="shared" si="41"/>
        <v>940113.74</v>
      </c>
      <c r="X188" s="165">
        <v>2016</v>
      </c>
      <c r="Y188" s="165">
        <v>2016</v>
      </c>
      <c r="Z188" s="155">
        <f t="shared" si="38"/>
        <v>67</v>
      </c>
      <c r="AA188" s="155">
        <f t="shared" si="39"/>
        <v>34</v>
      </c>
    </row>
    <row r="189" spans="1:27" s="118" customFormat="1" ht="18" customHeight="1" x14ac:dyDescent="0.25">
      <c r="A189" s="165">
        <f t="shared" si="35"/>
        <v>155</v>
      </c>
      <c r="B189" s="24" t="s">
        <v>325</v>
      </c>
      <c r="C189" s="142">
        <v>1955</v>
      </c>
      <c r="D189" s="165"/>
      <c r="E189" s="45">
        <v>1250.5</v>
      </c>
      <c r="F189" s="45">
        <v>1024</v>
      </c>
      <c r="G189" s="42">
        <f t="shared" si="43"/>
        <v>369592.32000000001</v>
      </c>
      <c r="H189" s="35">
        <f>F189*360.93</f>
        <v>369592.32000000001</v>
      </c>
      <c r="I189" s="42">
        <f>H189/F189</f>
        <v>360.93</v>
      </c>
      <c r="J189" s="35">
        <v>0</v>
      </c>
      <c r="K189" s="35">
        <v>0</v>
      </c>
      <c r="L189" s="35">
        <f t="shared" si="42"/>
        <v>0</v>
      </c>
      <c r="M189" s="35">
        <v>0</v>
      </c>
      <c r="N189" s="35"/>
      <c r="O189" s="35">
        <v>0</v>
      </c>
      <c r="P189" s="35"/>
      <c r="Q189" s="35">
        <v>0</v>
      </c>
      <c r="R189" s="35"/>
      <c r="S189" s="35">
        <v>0</v>
      </c>
      <c r="T189" s="35">
        <v>0</v>
      </c>
      <c r="U189" s="35">
        <v>0</v>
      </c>
      <c r="V189" s="35">
        <v>0</v>
      </c>
      <c r="W189" s="42">
        <f t="shared" si="41"/>
        <v>369592.32000000001</v>
      </c>
      <c r="X189" s="165">
        <v>2016</v>
      </c>
      <c r="Y189" s="165">
        <v>2016</v>
      </c>
      <c r="Z189" s="155">
        <f t="shared" si="38"/>
        <v>68</v>
      </c>
      <c r="AA189" s="155">
        <f t="shared" si="39"/>
        <v>35</v>
      </c>
    </row>
    <row r="190" spans="1:27" s="118" customFormat="1" ht="18" customHeight="1" x14ac:dyDescent="0.25">
      <c r="A190" s="165">
        <f t="shared" si="35"/>
        <v>156</v>
      </c>
      <c r="B190" s="24" t="s">
        <v>327</v>
      </c>
      <c r="C190" s="142">
        <v>1962</v>
      </c>
      <c r="D190" s="165"/>
      <c r="E190" s="45">
        <v>3193.5</v>
      </c>
      <c r="F190" s="45">
        <v>3149.8</v>
      </c>
      <c r="G190" s="42">
        <f t="shared" si="43"/>
        <v>5045948.0999999996</v>
      </c>
      <c r="H190" s="35">
        <f>ROUND((151+215+321.45)*F190,2)</f>
        <v>2165330.0099999998</v>
      </c>
      <c r="I190" s="42">
        <f>H190/F190</f>
        <v>687.44999999999993</v>
      </c>
      <c r="J190" s="35">
        <v>0</v>
      </c>
      <c r="K190" s="42">
        <v>2880618.09</v>
      </c>
      <c r="L190" s="35">
        <f t="shared" si="42"/>
        <v>914.53999936503897</v>
      </c>
      <c r="M190" s="35">
        <v>0</v>
      </c>
      <c r="N190" s="35"/>
      <c r="O190" s="35">
        <v>0</v>
      </c>
      <c r="P190" s="35"/>
      <c r="Q190" s="35">
        <v>0</v>
      </c>
      <c r="R190" s="35"/>
      <c r="S190" s="35">
        <v>0</v>
      </c>
      <c r="T190" s="35">
        <v>0</v>
      </c>
      <c r="U190" s="35">
        <v>0</v>
      </c>
      <c r="V190" s="35">
        <v>0</v>
      </c>
      <c r="W190" s="42">
        <f t="shared" si="41"/>
        <v>5045948.0999999996</v>
      </c>
      <c r="X190" s="165">
        <v>2016</v>
      </c>
      <c r="Y190" s="165">
        <v>2016</v>
      </c>
      <c r="Z190" s="155">
        <f t="shared" si="38"/>
        <v>69</v>
      </c>
      <c r="AA190" s="155">
        <f t="shared" si="39"/>
        <v>36</v>
      </c>
    </row>
    <row r="191" spans="1:27" s="118" customFormat="1" ht="18" customHeight="1" x14ac:dyDescent="0.25">
      <c r="A191" s="165">
        <f t="shared" si="35"/>
        <v>157</v>
      </c>
      <c r="B191" s="24" t="s">
        <v>326</v>
      </c>
      <c r="C191" s="142">
        <v>1969</v>
      </c>
      <c r="D191" s="165"/>
      <c r="E191" s="45">
        <v>2818.7</v>
      </c>
      <c r="F191" s="45">
        <v>2796.3</v>
      </c>
      <c r="G191" s="42">
        <f t="shared" si="43"/>
        <v>2466616.23</v>
      </c>
      <c r="H191" s="35">
        <v>0</v>
      </c>
      <c r="I191" s="42">
        <f>H191/F191</f>
        <v>0</v>
      </c>
      <c r="J191" s="35">
        <v>0</v>
      </c>
      <c r="K191" s="35">
        <v>0</v>
      </c>
      <c r="L191" s="35">
        <f t="shared" si="42"/>
        <v>0</v>
      </c>
      <c r="M191" s="35">
        <v>0</v>
      </c>
      <c r="N191" s="35"/>
      <c r="O191" s="42">
        <v>2466616.23</v>
      </c>
      <c r="P191" s="35">
        <f>O191/F191</f>
        <v>882.09999999999991</v>
      </c>
      <c r="Q191" s="35">
        <v>0</v>
      </c>
      <c r="R191" s="35"/>
      <c r="S191" s="35">
        <v>0</v>
      </c>
      <c r="T191" s="35">
        <v>0</v>
      </c>
      <c r="U191" s="35">
        <v>0</v>
      </c>
      <c r="V191" s="35">
        <v>0</v>
      </c>
      <c r="W191" s="42">
        <f t="shared" si="41"/>
        <v>2466616.23</v>
      </c>
      <c r="X191" s="165">
        <v>2016</v>
      </c>
      <c r="Y191" s="165">
        <v>2016</v>
      </c>
      <c r="Z191" s="155">
        <f t="shared" si="38"/>
        <v>70</v>
      </c>
      <c r="AA191" s="155">
        <f t="shared" si="39"/>
        <v>37</v>
      </c>
    </row>
    <row r="192" spans="1:27" s="118" customFormat="1" ht="18" customHeight="1" x14ac:dyDescent="0.25">
      <c r="A192" s="165">
        <f t="shared" si="35"/>
        <v>158</v>
      </c>
      <c r="B192" s="24" t="s">
        <v>328</v>
      </c>
      <c r="C192" s="142">
        <v>1961</v>
      </c>
      <c r="D192" s="165"/>
      <c r="E192" s="45">
        <v>1459.2</v>
      </c>
      <c r="F192" s="45">
        <v>1271.8</v>
      </c>
      <c r="G192" s="42">
        <f t="shared" si="43"/>
        <v>2028788.08</v>
      </c>
      <c r="H192" s="35">
        <v>0</v>
      </c>
      <c r="I192" s="35"/>
      <c r="J192" s="35">
        <v>0</v>
      </c>
      <c r="K192" s="42">
        <v>2028788.08</v>
      </c>
      <c r="L192" s="35">
        <f t="shared" si="42"/>
        <v>1595.2100015725744</v>
      </c>
      <c r="M192" s="35">
        <v>0</v>
      </c>
      <c r="N192" s="35"/>
      <c r="O192" s="35">
        <v>0</v>
      </c>
      <c r="P192" s="35"/>
      <c r="Q192" s="35">
        <v>0</v>
      </c>
      <c r="R192" s="35"/>
      <c r="S192" s="35">
        <v>0</v>
      </c>
      <c r="T192" s="35">
        <v>0</v>
      </c>
      <c r="U192" s="35">
        <v>0</v>
      </c>
      <c r="V192" s="35">
        <v>0</v>
      </c>
      <c r="W192" s="42">
        <f t="shared" si="41"/>
        <v>2028788.08</v>
      </c>
      <c r="X192" s="165">
        <v>2016</v>
      </c>
      <c r="Y192" s="165">
        <v>2016</v>
      </c>
      <c r="Z192" s="155">
        <f t="shared" si="38"/>
        <v>71</v>
      </c>
      <c r="AA192" s="155">
        <f t="shared" si="39"/>
        <v>38</v>
      </c>
    </row>
    <row r="193" spans="1:28" s="118" customFormat="1" ht="18" customHeight="1" x14ac:dyDescent="0.25">
      <c r="A193" s="165">
        <f t="shared" si="35"/>
        <v>159</v>
      </c>
      <c r="B193" s="24" t="s">
        <v>329</v>
      </c>
      <c r="C193" s="142">
        <v>1957</v>
      </c>
      <c r="D193" s="165"/>
      <c r="E193" s="45">
        <f>282.9+16.4</f>
        <v>299.29999999999995</v>
      </c>
      <c r="F193" s="45">
        <v>282.89999999999998</v>
      </c>
      <c r="G193" s="42">
        <f t="shared" si="43"/>
        <v>1126157.004</v>
      </c>
      <c r="H193" s="35">
        <v>0</v>
      </c>
      <c r="I193" s="35"/>
      <c r="J193" s="35">
        <v>0</v>
      </c>
      <c r="K193" s="42">
        <f>F193*3980.76</f>
        <v>1126157.004</v>
      </c>
      <c r="L193" s="35">
        <f t="shared" si="42"/>
        <v>3980.76</v>
      </c>
      <c r="M193" s="35">
        <v>0</v>
      </c>
      <c r="N193" s="35"/>
      <c r="O193" s="35">
        <v>0</v>
      </c>
      <c r="P193" s="35"/>
      <c r="Q193" s="35">
        <v>0</v>
      </c>
      <c r="R193" s="35"/>
      <c r="S193" s="35">
        <v>0</v>
      </c>
      <c r="T193" s="35">
        <v>0</v>
      </c>
      <c r="U193" s="35">
        <v>0</v>
      </c>
      <c r="V193" s="35">
        <v>0</v>
      </c>
      <c r="W193" s="42">
        <f t="shared" ref="W193:W200" si="44">G193</f>
        <v>1126157.004</v>
      </c>
      <c r="X193" s="165">
        <v>2016</v>
      </c>
      <c r="Y193" s="165">
        <v>2016</v>
      </c>
      <c r="Z193" s="155">
        <f t="shared" si="38"/>
        <v>72</v>
      </c>
      <c r="AA193" s="155">
        <f t="shared" si="39"/>
        <v>39</v>
      </c>
    </row>
    <row r="194" spans="1:28" s="118" customFormat="1" ht="18" customHeight="1" x14ac:dyDescent="0.25">
      <c r="A194" s="165">
        <f t="shared" si="35"/>
        <v>160</v>
      </c>
      <c r="B194" s="24" t="s">
        <v>330</v>
      </c>
      <c r="C194" s="142">
        <v>1957</v>
      </c>
      <c r="D194" s="165"/>
      <c r="E194" s="45">
        <f>847.8+20.4</f>
        <v>868.19999999999993</v>
      </c>
      <c r="F194" s="45">
        <v>847.8</v>
      </c>
      <c r="G194" s="42">
        <f t="shared" si="43"/>
        <v>1352419.04</v>
      </c>
      <c r="H194" s="35">
        <v>0</v>
      </c>
      <c r="I194" s="35"/>
      <c r="J194" s="35">
        <v>0</v>
      </c>
      <c r="K194" s="42">
        <v>1352419.04</v>
      </c>
      <c r="L194" s="35">
        <f t="shared" si="42"/>
        <v>1595.2100023590472</v>
      </c>
      <c r="M194" s="35">
        <v>0</v>
      </c>
      <c r="N194" s="35"/>
      <c r="O194" s="35">
        <v>0</v>
      </c>
      <c r="P194" s="35"/>
      <c r="Q194" s="35">
        <v>0</v>
      </c>
      <c r="R194" s="35"/>
      <c r="S194" s="35">
        <v>0</v>
      </c>
      <c r="T194" s="35">
        <v>0</v>
      </c>
      <c r="U194" s="35">
        <v>0</v>
      </c>
      <c r="V194" s="35">
        <v>0</v>
      </c>
      <c r="W194" s="42">
        <f t="shared" si="44"/>
        <v>1352419.04</v>
      </c>
      <c r="X194" s="165">
        <v>2016</v>
      </c>
      <c r="Y194" s="165">
        <v>2016</v>
      </c>
      <c r="Z194" s="155">
        <f t="shared" si="38"/>
        <v>73</v>
      </c>
      <c r="AA194" s="155">
        <f t="shared" si="39"/>
        <v>40</v>
      </c>
    </row>
    <row r="195" spans="1:28" s="118" customFormat="1" ht="18" customHeight="1" x14ac:dyDescent="0.25">
      <c r="A195" s="165">
        <f t="shared" si="35"/>
        <v>161</v>
      </c>
      <c r="B195" s="24" t="s">
        <v>331</v>
      </c>
      <c r="C195" s="142">
        <v>1956</v>
      </c>
      <c r="D195" s="165"/>
      <c r="E195" s="45">
        <v>974.9</v>
      </c>
      <c r="F195" s="45">
        <v>853.3</v>
      </c>
      <c r="G195" s="42">
        <f t="shared" si="43"/>
        <v>1361192.69</v>
      </c>
      <c r="H195" s="35">
        <v>0</v>
      </c>
      <c r="I195" s="35"/>
      <c r="J195" s="35">
        <v>0</v>
      </c>
      <c r="K195" s="42">
        <v>1361192.69</v>
      </c>
      <c r="L195" s="35">
        <f t="shared" si="42"/>
        <v>1595.2099964842378</v>
      </c>
      <c r="M195" s="35">
        <v>0</v>
      </c>
      <c r="N195" s="35"/>
      <c r="O195" s="35">
        <v>0</v>
      </c>
      <c r="P195" s="35"/>
      <c r="Q195" s="35">
        <v>0</v>
      </c>
      <c r="R195" s="35"/>
      <c r="S195" s="35">
        <v>0</v>
      </c>
      <c r="T195" s="35">
        <v>0</v>
      </c>
      <c r="U195" s="35">
        <v>0</v>
      </c>
      <c r="V195" s="35">
        <v>0</v>
      </c>
      <c r="W195" s="42">
        <f t="shared" si="44"/>
        <v>1361192.69</v>
      </c>
      <c r="X195" s="165">
        <v>2016</v>
      </c>
      <c r="Y195" s="165">
        <v>2016</v>
      </c>
      <c r="Z195" s="155">
        <f t="shared" si="38"/>
        <v>74</v>
      </c>
      <c r="AA195" s="155">
        <f t="shared" si="39"/>
        <v>41</v>
      </c>
    </row>
    <row r="196" spans="1:28" s="118" customFormat="1" ht="18" customHeight="1" x14ac:dyDescent="0.25">
      <c r="A196" s="165">
        <f t="shared" si="35"/>
        <v>162</v>
      </c>
      <c r="B196" s="24" t="s">
        <v>332</v>
      </c>
      <c r="C196" s="142">
        <v>1987</v>
      </c>
      <c r="D196" s="165"/>
      <c r="E196" s="45">
        <v>2663.5</v>
      </c>
      <c r="F196" s="45">
        <v>2615</v>
      </c>
      <c r="G196" s="42">
        <f t="shared" si="43"/>
        <v>442118.05</v>
      </c>
      <c r="H196" s="35">
        <v>442118.05</v>
      </c>
      <c r="I196" s="42">
        <f>H196/F196</f>
        <v>169.07</v>
      </c>
      <c r="J196" s="35">
        <v>0</v>
      </c>
      <c r="K196" s="35">
        <v>0</v>
      </c>
      <c r="L196" s="35">
        <f t="shared" si="42"/>
        <v>0</v>
      </c>
      <c r="M196" s="35">
        <v>0</v>
      </c>
      <c r="N196" s="35"/>
      <c r="O196" s="35">
        <v>0</v>
      </c>
      <c r="P196" s="35"/>
      <c r="Q196" s="35">
        <v>0</v>
      </c>
      <c r="R196" s="35"/>
      <c r="S196" s="35">
        <v>0</v>
      </c>
      <c r="T196" s="35">
        <v>0</v>
      </c>
      <c r="U196" s="35">
        <v>0</v>
      </c>
      <c r="V196" s="35">
        <v>0</v>
      </c>
      <c r="W196" s="42">
        <f t="shared" si="44"/>
        <v>442118.05</v>
      </c>
      <c r="X196" s="165">
        <v>2016</v>
      </c>
      <c r="Y196" s="165">
        <v>2016</v>
      </c>
      <c r="Z196" s="155">
        <f t="shared" si="38"/>
        <v>75</v>
      </c>
      <c r="AA196" s="155">
        <f t="shared" si="39"/>
        <v>42</v>
      </c>
    </row>
    <row r="197" spans="1:28" s="118" customFormat="1" ht="18" customHeight="1" x14ac:dyDescent="0.25">
      <c r="A197" s="165">
        <f t="shared" si="35"/>
        <v>163</v>
      </c>
      <c r="B197" s="24" t="s">
        <v>159</v>
      </c>
      <c r="C197" s="142">
        <v>1950</v>
      </c>
      <c r="D197" s="47"/>
      <c r="E197" s="121">
        <f>497.4+10</f>
        <v>507.4</v>
      </c>
      <c r="F197" s="45">
        <f>497.4</f>
        <v>497.4</v>
      </c>
      <c r="G197" s="42">
        <f t="shared" si="43"/>
        <v>1980030.02</v>
      </c>
      <c r="H197" s="42">
        <v>0</v>
      </c>
      <c r="I197" s="42"/>
      <c r="J197" s="42">
        <v>0</v>
      </c>
      <c r="K197" s="42">
        <f>ROUND(497.4*3980.76,2)</f>
        <v>1980030.02</v>
      </c>
      <c r="L197" s="35">
        <f t="shared" si="42"/>
        <v>3980.7599919581826</v>
      </c>
      <c r="M197" s="42">
        <v>0</v>
      </c>
      <c r="N197" s="42"/>
      <c r="O197" s="42">
        <v>0</v>
      </c>
      <c r="P197" s="42"/>
      <c r="Q197" s="42">
        <v>0</v>
      </c>
      <c r="R197" s="42"/>
      <c r="S197" s="42">
        <v>0</v>
      </c>
      <c r="T197" s="42">
        <v>0</v>
      </c>
      <c r="U197" s="42">
        <v>0</v>
      </c>
      <c r="V197" s="42">
        <v>0</v>
      </c>
      <c r="W197" s="42">
        <f t="shared" si="44"/>
        <v>1980030.02</v>
      </c>
      <c r="X197" s="165">
        <v>2015</v>
      </c>
      <c r="Y197" s="165">
        <v>2016</v>
      </c>
      <c r="Z197" s="155">
        <f t="shared" si="38"/>
        <v>76</v>
      </c>
      <c r="AA197" s="155">
        <f t="shared" ref="AA197" si="45">AA196+1</f>
        <v>43</v>
      </c>
    </row>
    <row r="198" spans="1:28" s="118" customFormat="1" ht="18" customHeight="1" x14ac:dyDescent="0.25">
      <c r="A198" s="165">
        <f t="shared" si="35"/>
        <v>164</v>
      </c>
      <c r="B198" s="24" t="s">
        <v>160</v>
      </c>
      <c r="C198" s="142">
        <v>1950</v>
      </c>
      <c r="D198" s="165"/>
      <c r="E198" s="45">
        <v>716.5</v>
      </c>
      <c r="F198" s="45">
        <v>665.3</v>
      </c>
      <c r="G198" s="42">
        <f t="shared" si="43"/>
        <v>2369978.23</v>
      </c>
      <c r="H198" s="35">
        <v>0</v>
      </c>
      <c r="I198" s="35"/>
      <c r="J198" s="35">
        <v>0</v>
      </c>
      <c r="K198" s="42">
        <v>2369978.23</v>
      </c>
      <c r="L198" s="35">
        <f t="shared" si="42"/>
        <v>3562.269998496919</v>
      </c>
      <c r="M198" s="35">
        <v>0</v>
      </c>
      <c r="N198" s="35"/>
      <c r="O198" s="35">
        <v>0</v>
      </c>
      <c r="P198" s="35"/>
      <c r="Q198" s="35">
        <v>0</v>
      </c>
      <c r="R198" s="35"/>
      <c r="S198" s="35">
        <v>0</v>
      </c>
      <c r="T198" s="35">
        <v>0</v>
      </c>
      <c r="U198" s="35">
        <v>0</v>
      </c>
      <c r="V198" s="35">
        <v>0</v>
      </c>
      <c r="W198" s="42">
        <f t="shared" si="44"/>
        <v>2369978.23</v>
      </c>
      <c r="X198" s="165">
        <v>2016</v>
      </c>
      <c r="Y198" s="165">
        <v>2016</v>
      </c>
      <c r="Z198" s="155">
        <f t="shared" si="38"/>
        <v>77</v>
      </c>
      <c r="AA198" s="155">
        <f t="shared" ref="AA198" si="46">AA197+1</f>
        <v>44</v>
      </c>
    </row>
    <row r="199" spans="1:28" s="118" customFormat="1" ht="18" customHeight="1" x14ac:dyDescent="0.25">
      <c r="A199" s="165">
        <f t="shared" si="35"/>
        <v>165</v>
      </c>
      <c r="B199" s="24" t="s">
        <v>161</v>
      </c>
      <c r="C199" s="142">
        <v>1956</v>
      </c>
      <c r="D199" s="47"/>
      <c r="E199" s="121">
        <v>683.3</v>
      </c>
      <c r="F199" s="45">
        <v>459.1</v>
      </c>
      <c r="G199" s="42">
        <f t="shared" si="43"/>
        <v>1827566.92</v>
      </c>
      <c r="H199" s="42">
        <v>0</v>
      </c>
      <c r="I199" s="42"/>
      <c r="J199" s="42">
        <v>0</v>
      </c>
      <c r="K199" s="42">
        <f>ROUND(459.1*3980.76,2)</f>
        <v>1827566.92</v>
      </c>
      <c r="L199" s="35">
        <f t="shared" si="42"/>
        <v>3980.7600087126984</v>
      </c>
      <c r="M199" s="42">
        <v>0</v>
      </c>
      <c r="N199" s="42"/>
      <c r="O199" s="42">
        <v>0</v>
      </c>
      <c r="P199" s="35">
        <f t="shared" ref="P199" si="47">O199/F199</f>
        <v>0</v>
      </c>
      <c r="Q199" s="42">
        <v>0</v>
      </c>
      <c r="R199" s="42"/>
      <c r="S199" s="42">
        <v>0</v>
      </c>
      <c r="T199" s="42">
        <v>0</v>
      </c>
      <c r="U199" s="42">
        <v>0</v>
      </c>
      <c r="V199" s="42">
        <v>0</v>
      </c>
      <c r="W199" s="42">
        <f t="shared" si="44"/>
        <v>1827566.92</v>
      </c>
      <c r="X199" s="165">
        <v>2015</v>
      </c>
      <c r="Y199" s="165">
        <v>2016</v>
      </c>
      <c r="Z199" s="155">
        <f t="shared" si="38"/>
        <v>78</v>
      </c>
      <c r="AA199" s="155">
        <f t="shared" ref="AA199" si="48">AA198+1</f>
        <v>45</v>
      </c>
    </row>
    <row r="200" spans="1:28" s="118" customFormat="1" ht="18" customHeight="1" x14ac:dyDescent="0.25">
      <c r="A200" s="165">
        <f t="shared" si="35"/>
        <v>166</v>
      </c>
      <c r="B200" s="48" t="s">
        <v>524</v>
      </c>
      <c r="C200" s="142">
        <v>1971</v>
      </c>
      <c r="D200" s="165"/>
      <c r="E200" s="45">
        <v>3589.6</v>
      </c>
      <c r="F200" s="45">
        <v>2078</v>
      </c>
      <c r="G200" s="42">
        <f t="shared" si="43"/>
        <v>1900414.12</v>
      </c>
      <c r="H200" s="35">
        <v>0</v>
      </c>
      <c r="I200" s="35"/>
      <c r="J200" s="35">
        <v>0</v>
      </c>
      <c r="K200" s="42">
        <f>ROUND(914.54*F200,2)</f>
        <v>1900414.12</v>
      </c>
      <c r="L200" s="35">
        <f t="shared" ref="L200" si="49">K200/F200</f>
        <v>914.54000000000008</v>
      </c>
      <c r="M200" s="35">
        <v>0</v>
      </c>
      <c r="N200" s="35"/>
      <c r="O200" s="35">
        <v>0</v>
      </c>
      <c r="P200" s="35"/>
      <c r="Q200" s="35">
        <v>0</v>
      </c>
      <c r="R200" s="35"/>
      <c r="S200" s="35">
        <v>0</v>
      </c>
      <c r="T200" s="35">
        <v>0</v>
      </c>
      <c r="U200" s="35">
        <v>0</v>
      </c>
      <c r="V200" s="35">
        <v>0</v>
      </c>
      <c r="W200" s="42">
        <f t="shared" si="44"/>
        <v>1900414.12</v>
      </c>
      <c r="X200" s="165">
        <v>2016</v>
      </c>
      <c r="Y200" s="165">
        <v>2016</v>
      </c>
      <c r="Z200" s="155">
        <f t="shared" si="38"/>
        <v>79</v>
      </c>
      <c r="AA200" s="155">
        <f t="shared" ref="AA200" si="50">AA199+1</f>
        <v>46</v>
      </c>
    </row>
    <row r="201" spans="1:28" s="116" customFormat="1" ht="19.5" customHeight="1" x14ac:dyDescent="0.25">
      <c r="A201" s="183" t="s">
        <v>173</v>
      </c>
      <c r="B201" s="183"/>
      <c r="C201" s="142"/>
      <c r="D201" s="165"/>
      <c r="E201" s="29">
        <f>SUM(E87:E130)</f>
        <v>182704.2</v>
      </c>
      <c r="F201" s="29">
        <f>SUM(F87:F130)</f>
        <v>164197.50000000003</v>
      </c>
      <c r="G201" s="19">
        <f>SUM(G87:G130)</f>
        <v>153848607.26196009</v>
      </c>
      <c r="H201" s="19">
        <f t="shared" ref="H201:V201" si="51">SUM(H87:H130)</f>
        <v>19580473.190000001</v>
      </c>
      <c r="I201" s="19">
        <f t="shared" si="51"/>
        <v>0</v>
      </c>
      <c r="J201" s="19">
        <f t="shared" si="51"/>
        <v>25725274.629999999</v>
      </c>
      <c r="K201" s="19">
        <f t="shared" si="51"/>
        <v>105913229.3</v>
      </c>
      <c r="L201" s="19">
        <f t="shared" si="51"/>
        <v>2542.2319600879418</v>
      </c>
      <c r="M201" s="19">
        <f t="shared" si="51"/>
        <v>0</v>
      </c>
      <c r="N201" s="19">
        <f t="shared" si="51"/>
        <v>0</v>
      </c>
      <c r="O201" s="19">
        <f t="shared" si="51"/>
        <v>2627087.91</v>
      </c>
      <c r="P201" s="19">
        <f t="shared" si="51"/>
        <v>0</v>
      </c>
      <c r="Q201" s="19">
        <f t="shared" si="51"/>
        <v>0</v>
      </c>
      <c r="R201" s="19">
        <f t="shared" si="51"/>
        <v>0</v>
      </c>
      <c r="S201" s="19">
        <f t="shared" si="51"/>
        <v>0</v>
      </c>
      <c r="T201" s="19">
        <f t="shared" si="51"/>
        <v>0</v>
      </c>
      <c r="U201" s="19">
        <f t="shared" si="51"/>
        <v>0</v>
      </c>
      <c r="V201" s="19">
        <f t="shared" si="51"/>
        <v>150376265.02999997</v>
      </c>
      <c r="W201" s="19">
        <f>SUM(W87:W130)</f>
        <v>3469800</v>
      </c>
      <c r="X201" s="20" t="s">
        <v>368</v>
      </c>
      <c r="Y201" s="20" t="s">
        <v>368</v>
      </c>
      <c r="Z201" s="156"/>
      <c r="AA201" s="155"/>
    </row>
    <row r="202" spans="1:28" s="116" customFormat="1" ht="19.5" customHeight="1" x14ac:dyDescent="0.25">
      <c r="A202" s="183" t="s">
        <v>171</v>
      </c>
      <c r="B202" s="183"/>
      <c r="C202" s="142"/>
      <c r="D202" s="165"/>
      <c r="E202" s="29">
        <f>SUM(E131:E154)</f>
        <v>94856.400000000009</v>
      </c>
      <c r="F202" s="29">
        <f>SUM(F131:F154)</f>
        <v>89472.900000000009</v>
      </c>
      <c r="G202" s="19">
        <f>SUM(G131:G154)</f>
        <v>71179404.650000006</v>
      </c>
      <c r="H202" s="19">
        <f t="shared" ref="H202:V202" si="52">SUM(H131:H154)</f>
        <v>7467777</v>
      </c>
      <c r="I202" s="19">
        <f t="shared" si="52"/>
        <v>0</v>
      </c>
      <c r="J202" s="19">
        <f t="shared" si="52"/>
        <v>21281685.920000002</v>
      </c>
      <c r="K202" s="19">
        <f t="shared" si="52"/>
        <v>40247691.730000004</v>
      </c>
      <c r="L202" s="19">
        <f t="shared" si="52"/>
        <v>0</v>
      </c>
      <c r="M202" s="19">
        <f t="shared" si="52"/>
        <v>0</v>
      </c>
      <c r="N202" s="19">
        <f t="shared" si="52"/>
        <v>0</v>
      </c>
      <c r="O202" s="19">
        <f t="shared" si="52"/>
        <v>2182250</v>
      </c>
      <c r="P202" s="19">
        <f t="shared" si="52"/>
        <v>0</v>
      </c>
      <c r="Q202" s="19">
        <f t="shared" si="52"/>
        <v>0</v>
      </c>
      <c r="R202" s="19">
        <f t="shared" si="52"/>
        <v>0</v>
      </c>
      <c r="S202" s="19">
        <f t="shared" si="52"/>
        <v>0</v>
      </c>
      <c r="T202" s="19">
        <f t="shared" si="52"/>
        <v>0</v>
      </c>
      <c r="U202" s="19">
        <f t="shared" si="52"/>
        <v>0</v>
      </c>
      <c r="V202" s="19">
        <f t="shared" si="52"/>
        <v>0</v>
      </c>
      <c r="W202" s="19">
        <f>SUM(W131:W154)</f>
        <v>71179404.650000006</v>
      </c>
      <c r="X202" s="20" t="s">
        <v>368</v>
      </c>
      <c r="Y202" s="20" t="s">
        <v>368</v>
      </c>
      <c r="Z202" s="156"/>
      <c r="AA202" s="155"/>
    </row>
    <row r="203" spans="1:28" s="116" customFormat="1" ht="19.5" customHeight="1" x14ac:dyDescent="0.25">
      <c r="A203" s="183" t="s">
        <v>172</v>
      </c>
      <c r="B203" s="183"/>
      <c r="C203" s="142"/>
      <c r="D203" s="165"/>
      <c r="E203" s="29">
        <f>SUM(E155:E200)</f>
        <v>126389.09999999999</v>
      </c>
      <c r="F203" s="29">
        <f>SUM(F155:F200)</f>
        <v>113015.00000000003</v>
      </c>
      <c r="G203" s="19">
        <f>SUM(G155:G200)</f>
        <v>97353702.430000007</v>
      </c>
      <c r="H203" s="19">
        <f>SUM(H155:H200)</f>
        <v>13505224.48</v>
      </c>
      <c r="I203" s="19"/>
      <c r="J203" s="19">
        <f>SUM(J155:J200)</f>
        <v>4021580.94</v>
      </c>
      <c r="K203" s="19">
        <f>SUM(K155:K200)</f>
        <v>76754630.920000002</v>
      </c>
      <c r="L203" s="19"/>
      <c r="M203" s="19">
        <f>SUM(M155:M200)</f>
        <v>0</v>
      </c>
      <c r="N203" s="19">
        <f>SUM(N155:N200)</f>
        <v>0</v>
      </c>
      <c r="O203" s="19">
        <f>SUM(O155:O200)</f>
        <v>3072266.09</v>
      </c>
      <c r="P203" s="19"/>
      <c r="Q203" s="19">
        <f>SUM(Q155:Q200)</f>
        <v>0</v>
      </c>
      <c r="R203" s="19"/>
      <c r="S203" s="19">
        <f>SUM(S155:S200)</f>
        <v>0</v>
      </c>
      <c r="T203" s="19">
        <f>SUM(T155:T200)</f>
        <v>0</v>
      </c>
      <c r="U203" s="19">
        <f>SUM(U155:U200)</f>
        <v>0</v>
      </c>
      <c r="V203" s="19">
        <f>SUM(V155:V200)</f>
        <v>1734505.1</v>
      </c>
      <c r="W203" s="19">
        <f>SUM(W155:W200)</f>
        <v>95619197.329999998</v>
      </c>
      <c r="X203" s="20" t="s">
        <v>368</v>
      </c>
      <c r="Y203" s="20" t="s">
        <v>368</v>
      </c>
      <c r="Z203" s="156"/>
      <c r="AA203" s="155"/>
      <c r="AB203" s="157">
        <f>T203+V203+W203</f>
        <v>97353702.429999992</v>
      </c>
    </row>
    <row r="204" spans="1:28" s="116" customFormat="1" ht="18" customHeight="1" x14ac:dyDescent="0.25">
      <c r="A204" s="182" t="s">
        <v>165</v>
      </c>
      <c r="B204" s="182"/>
      <c r="C204" s="182"/>
      <c r="D204" s="182"/>
      <c r="E204" s="182"/>
      <c r="F204" s="182"/>
      <c r="G204" s="182"/>
      <c r="H204" s="182"/>
      <c r="I204" s="182"/>
      <c r="J204" s="182"/>
      <c r="K204" s="182"/>
      <c r="L204" s="182"/>
      <c r="M204" s="182"/>
      <c r="N204" s="182"/>
      <c r="O204" s="182"/>
      <c r="P204" s="182"/>
      <c r="Q204" s="182"/>
      <c r="R204" s="182"/>
      <c r="S204" s="182"/>
      <c r="T204" s="182"/>
      <c r="U204" s="182"/>
      <c r="V204" s="182"/>
      <c r="W204" s="182"/>
      <c r="X204" s="167"/>
      <c r="Y204" s="167"/>
      <c r="Z204" s="156"/>
      <c r="AA204" s="155"/>
    </row>
    <row r="205" spans="1:28" s="118" customFormat="1" ht="18" customHeight="1" x14ac:dyDescent="0.25">
      <c r="A205" s="165">
        <f>A200+1</f>
        <v>167</v>
      </c>
      <c r="B205" s="24" t="s">
        <v>166</v>
      </c>
      <c r="C205" s="142">
        <v>1957</v>
      </c>
      <c r="D205" s="47"/>
      <c r="E205" s="45">
        <v>1786.5</v>
      </c>
      <c r="F205" s="45">
        <v>1636.2</v>
      </c>
      <c r="G205" s="42">
        <f>SUM(H205:S205)</f>
        <v>874766.9</v>
      </c>
      <c r="H205" s="35">
        <v>874766.9</v>
      </c>
      <c r="I205" s="35"/>
      <c r="J205" s="35">
        <v>0</v>
      </c>
      <c r="K205" s="35">
        <v>0</v>
      </c>
      <c r="L205" s="35"/>
      <c r="M205" s="35">
        <v>0</v>
      </c>
      <c r="N205" s="35"/>
      <c r="O205" s="35">
        <v>0</v>
      </c>
      <c r="P205" s="35"/>
      <c r="Q205" s="35">
        <v>0</v>
      </c>
      <c r="R205" s="35"/>
      <c r="S205" s="35">
        <v>0</v>
      </c>
      <c r="T205" s="35">
        <v>0</v>
      </c>
      <c r="U205" s="35">
        <v>0</v>
      </c>
      <c r="V205" s="35">
        <v>0</v>
      </c>
      <c r="W205" s="42">
        <f t="shared" ref="W205:W210" si="53">G205</f>
        <v>874766.9</v>
      </c>
      <c r="X205" s="165">
        <v>2015</v>
      </c>
      <c r="Y205" s="165">
        <v>2015</v>
      </c>
      <c r="Z205" s="155"/>
      <c r="AA205" s="155"/>
    </row>
    <row r="206" spans="1:28" s="118" customFormat="1" ht="18" customHeight="1" x14ac:dyDescent="0.25">
      <c r="A206" s="165">
        <f>A205+1</f>
        <v>168</v>
      </c>
      <c r="B206" s="24" t="s">
        <v>167</v>
      </c>
      <c r="C206" s="142">
        <v>1957</v>
      </c>
      <c r="D206" s="47"/>
      <c r="E206" s="45">
        <v>1220.0999999999999</v>
      </c>
      <c r="F206" s="45">
        <v>1114</v>
      </c>
      <c r="G206" s="42">
        <f>SUM(H206:S206)</f>
        <v>1815263.4</v>
      </c>
      <c r="H206" s="35">
        <v>646042.42000000004</v>
      </c>
      <c r="I206" s="35"/>
      <c r="J206" s="35">
        <v>0</v>
      </c>
      <c r="K206" s="35">
        <v>1169220.98</v>
      </c>
      <c r="L206" s="35"/>
      <c r="M206" s="35">
        <v>0</v>
      </c>
      <c r="N206" s="35"/>
      <c r="O206" s="35">
        <v>0</v>
      </c>
      <c r="P206" s="35"/>
      <c r="Q206" s="35">
        <v>0</v>
      </c>
      <c r="R206" s="35"/>
      <c r="S206" s="35">
        <v>0</v>
      </c>
      <c r="T206" s="35">
        <v>0</v>
      </c>
      <c r="U206" s="35">
        <v>0</v>
      </c>
      <c r="V206" s="35">
        <v>0</v>
      </c>
      <c r="W206" s="42">
        <f t="shared" si="53"/>
        <v>1815263.4</v>
      </c>
      <c r="X206" s="165">
        <v>2015</v>
      </c>
      <c r="Y206" s="165">
        <v>2015</v>
      </c>
      <c r="Z206" s="155"/>
      <c r="AA206" s="155"/>
    </row>
    <row r="207" spans="1:28" s="118" customFormat="1" ht="18" customHeight="1" x14ac:dyDescent="0.25">
      <c r="A207" s="165">
        <f t="shared" ref="A207:A210" si="54">A206+1</f>
        <v>169</v>
      </c>
      <c r="B207" s="24" t="s">
        <v>168</v>
      </c>
      <c r="C207" s="142">
        <v>1957</v>
      </c>
      <c r="D207" s="47"/>
      <c r="E207" s="45">
        <v>1585.1</v>
      </c>
      <c r="F207" s="45">
        <v>1451.2</v>
      </c>
      <c r="G207" s="42">
        <f>SUM(H207:S207)</f>
        <v>2406756.6</v>
      </c>
      <c r="H207" s="35">
        <v>711187.6</v>
      </c>
      <c r="I207" s="35"/>
      <c r="J207" s="35">
        <v>0</v>
      </c>
      <c r="K207" s="35">
        <v>1695569</v>
      </c>
      <c r="L207" s="35"/>
      <c r="M207" s="35">
        <v>0</v>
      </c>
      <c r="N207" s="35"/>
      <c r="O207" s="35">
        <v>0</v>
      </c>
      <c r="P207" s="35"/>
      <c r="Q207" s="35">
        <v>0</v>
      </c>
      <c r="R207" s="35"/>
      <c r="S207" s="35">
        <v>0</v>
      </c>
      <c r="T207" s="35">
        <v>0</v>
      </c>
      <c r="U207" s="35">
        <v>0</v>
      </c>
      <c r="V207" s="35">
        <v>0</v>
      </c>
      <c r="W207" s="42">
        <f t="shared" si="53"/>
        <v>2406756.6</v>
      </c>
      <c r="X207" s="165">
        <v>2015</v>
      </c>
      <c r="Y207" s="165">
        <v>2015</v>
      </c>
      <c r="Z207" s="155"/>
      <c r="AA207" s="156"/>
    </row>
    <row r="208" spans="1:28" s="118" customFormat="1" ht="18" customHeight="1" x14ac:dyDescent="0.25">
      <c r="A208" s="172">
        <f t="shared" si="54"/>
        <v>170</v>
      </c>
      <c r="B208" s="50" t="s">
        <v>525</v>
      </c>
      <c r="C208" s="173">
        <v>1958</v>
      </c>
      <c r="D208" s="47"/>
      <c r="E208" s="51">
        <v>1429</v>
      </c>
      <c r="F208" s="126">
        <v>1107.0999999999999</v>
      </c>
      <c r="G208" s="42">
        <f t="shared" ref="G208:G210" si="55">H208+J208+K208+M208+O208+Q208+S208</f>
        <v>3100654.9699999997</v>
      </c>
      <c r="H208" s="125">
        <v>1334597.98</v>
      </c>
      <c r="I208" s="42">
        <f t="shared" ref="I208:I210" si="56">H208/F208</f>
        <v>1205.4900009032608</v>
      </c>
      <c r="J208" s="35">
        <v>0</v>
      </c>
      <c r="K208" s="52">
        <v>1766056.99</v>
      </c>
      <c r="L208" s="35">
        <f t="shared" ref="L208:L209" si="57">K208/F208</f>
        <v>1595.2099990967392</v>
      </c>
      <c r="M208" s="35">
        <v>0</v>
      </c>
      <c r="N208" s="35"/>
      <c r="O208" s="35">
        <v>0</v>
      </c>
      <c r="P208" s="35">
        <f>O208/F208</f>
        <v>0</v>
      </c>
      <c r="Q208" s="35">
        <v>0</v>
      </c>
      <c r="R208" s="35"/>
      <c r="S208" s="35">
        <v>0</v>
      </c>
      <c r="T208" s="35">
        <v>0</v>
      </c>
      <c r="U208" s="35">
        <v>0</v>
      </c>
      <c r="V208" s="35">
        <v>0</v>
      </c>
      <c r="W208" s="42">
        <f t="shared" si="53"/>
        <v>3100654.9699999997</v>
      </c>
      <c r="X208" s="172">
        <v>2015</v>
      </c>
      <c r="Y208" s="172">
        <v>2016</v>
      </c>
      <c r="Z208" s="155">
        <f>Z200+1</f>
        <v>80</v>
      </c>
      <c r="AA208" s="155">
        <v>1</v>
      </c>
    </row>
    <row r="209" spans="1:28" s="118" customFormat="1" ht="18" customHeight="1" x14ac:dyDescent="0.25">
      <c r="A209" s="165">
        <f t="shared" si="54"/>
        <v>171</v>
      </c>
      <c r="B209" s="24" t="s">
        <v>169</v>
      </c>
      <c r="C209" s="142">
        <v>1958</v>
      </c>
      <c r="D209" s="47"/>
      <c r="E209" s="45">
        <v>1211.9000000000001</v>
      </c>
      <c r="F209" s="121">
        <f>1031+74.8</f>
        <v>1105.8</v>
      </c>
      <c r="G209" s="42">
        <f t="shared" si="55"/>
        <v>1799920.31</v>
      </c>
      <c r="H209" s="35">
        <v>593278.16</v>
      </c>
      <c r="I209" s="42">
        <f t="shared" si="56"/>
        <v>536.51488515102199</v>
      </c>
      <c r="J209" s="35">
        <v>0</v>
      </c>
      <c r="K209" s="35">
        <v>1206642.1499999999</v>
      </c>
      <c r="L209" s="35">
        <f t="shared" si="57"/>
        <v>1091.1938415626696</v>
      </c>
      <c r="M209" s="35">
        <v>0</v>
      </c>
      <c r="N209" s="35"/>
      <c r="O209" s="35">
        <v>0</v>
      </c>
      <c r="P209" s="35">
        <f>O209/F209</f>
        <v>0</v>
      </c>
      <c r="Q209" s="35">
        <v>0</v>
      </c>
      <c r="R209" s="35"/>
      <c r="S209" s="35">
        <v>0</v>
      </c>
      <c r="T209" s="35">
        <v>0</v>
      </c>
      <c r="U209" s="35">
        <v>0</v>
      </c>
      <c r="V209" s="35">
        <v>0</v>
      </c>
      <c r="W209" s="42">
        <f t="shared" si="53"/>
        <v>1799920.31</v>
      </c>
      <c r="X209" s="165">
        <v>2015</v>
      </c>
      <c r="Y209" s="165">
        <v>2016</v>
      </c>
      <c r="Z209" s="155">
        <f t="shared" ref="Z209:AA210" si="58">Z208+1</f>
        <v>81</v>
      </c>
      <c r="AA209" s="155">
        <f t="shared" si="58"/>
        <v>2</v>
      </c>
    </row>
    <row r="210" spans="1:28" s="118" customFormat="1" ht="18" customHeight="1" x14ac:dyDescent="0.25">
      <c r="A210" s="165">
        <f t="shared" si="54"/>
        <v>172</v>
      </c>
      <c r="B210" s="50" t="s">
        <v>170</v>
      </c>
      <c r="C210" s="145">
        <v>1952</v>
      </c>
      <c r="D210" s="47"/>
      <c r="E210" s="51">
        <v>1206.8</v>
      </c>
      <c r="F210" s="126">
        <v>1105</v>
      </c>
      <c r="G210" s="42">
        <f t="shared" si="55"/>
        <v>1332066.45</v>
      </c>
      <c r="H210" s="125">
        <v>1332066.45</v>
      </c>
      <c r="I210" s="35">
        <f t="shared" si="56"/>
        <v>1205.49</v>
      </c>
      <c r="J210" s="35">
        <v>0</v>
      </c>
      <c r="K210" s="35">
        <v>0</v>
      </c>
      <c r="L210" s="53"/>
      <c r="M210" s="35">
        <v>0</v>
      </c>
      <c r="N210" s="35"/>
      <c r="O210" s="35">
        <v>0</v>
      </c>
      <c r="P210" s="53"/>
      <c r="Q210" s="35">
        <v>0</v>
      </c>
      <c r="R210" s="35"/>
      <c r="S210" s="35">
        <v>0</v>
      </c>
      <c r="T210" s="35">
        <v>0</v>
      </c>
      <c r="U210" s="35">
        <v>0</v>
      </c>
      <c r="V210" s="35">
        <v>0</v>
      </c>
      <c r="W210" s="42">
        <f t="shared" si="53"/>
        <v>1332066.45</v>
      </c>
      <c r="X210" s="165">
        <v>2016</v>
      </c>
      <c r="Y210" s="165">
        <v>2016</v>
      </c>
      <c r="Z210" s="155">
        <f t="shared" si="58"/>
        <v>82</v>
      </c>
      <c r="AA210" s="155">
        <f t="shared" si="58"/>
        <v>3</v>
      </c>
    </row>
    <row r="211" spans="1:28" s="116" customFormat="1" ht="19.5" customHeight="1" x14ac:dyDescent="0.25">
      <c r="A211" s="183" t="s">
        <v>173</v>
      </c>
      <c r="B211" s="183"/>
      <c r="C211" s="142"/>
      <c r="D211" s="165"/>
      <c r="E211" s="28">
        <v>0</v>
      </c>
      <c r="F211" s="28">
        <v>0</v>
      </c>
      <c r="G211" s="19">
        <v>0</v>
      </c>
      <c r="H211" s="28">
        <v>0</v>
      </c>
      <c r="I211" s="28"/>
      <c r="J211" s="28">
        <v>0</v>
      </c>
      <c r="K211" s="28">
        <v>0</v>
      </c>
      <c r="L211" s="28"/>
      <c r="M211" s="28">
        <v>0</v>
      </c>
      <c r="N211" s="28"/>
      <c r="O211" s="28">
        <v>0</v>
      </c>
      <c r="P211" s="28"/>
      <c r="Q211" s="28">
        <v>0</v>
      </c>
      <c r="R211" s="28"/>
      <c r="S211" s="28">
        <v>0</v>
      </c>
      <c r="T211" s="28">
        <v>0</v>
      </c>
      <c r="U211" s="28">
        <v>0</v>
      </c>
      <c r="V211" s="28">
        <v>0</v>
      </c>
      <c r="W211" s="19">
        <v>0</v>
      </c>
      <c r="X211" s="20" t="s">
        <v>368</v>
      </c>
      <c r="Y211" s="20" t="s">
        <v>368</v>
      </c>
      <c r="Z211" s="156"/>
      <c r="AA211" s="155"/>
    </row>
    <row r="212" spans="1:28" s="116" customFormat="1" ht="19.5" customHeight="1" x14ac:dyDescent="0.25">
      <c r="A212" s="183" t="s">
        <v>171</v>
      </c>
      <c r="B212" s="183"/>
      <c r="C212" s="142"/>
      <c r="D212" s="165"/>
      <c r="E212" s="29">
        <f>SUM(E205:E207)</f>
        <v>4591.7</v>
      </c>
      <c r="F212" s="28">
        <f>SUM(F205:F207)</f>
        <v>4201.3999999999996</v>
      </c>
      <c r="G212" s="19">
        <f t="shared" ref="G212:W212" si="59">SUM(G205:G207)</f>
        <v>5096786.9000000004</v>
      </c>
      <c r="H212" s="28">
        <f t="shared" si="59"/>
        <v>2231996.92</v>
      </c>
      <c r="I212" s="28"/>
      <c r="J212" s="28">
        <f t="shared" si="59"/>
        <v>0</v>
      </c>
      <c r="K212" s="28">
        <f t="shared" si="59"/>
        <v>2864789.98</v>
      </c>
      <c r="L212" s="28"/>
      <c r="M212" s="28">
        <f t="shared" si="59"/>
        <v>0</v>
      </c>
      <c r="N212" s="28"/>
      <c r="O212" s="28">
        <f t="shared" si="59"/>
        <v>0</v>
      </c>
      <c r="P212" s="28"/>
      <c r="Q212" s="28">
        <f t="shared" si="59"/>
        <v>0</v>
      </c>
      <c r="R212" s="28"/>
      <c r="S212" s="28">
        <f t="shared" si="59"/>
        <v>0</v>
      </c>
      <c r="T212" s="28">
        <f t="shared" si="59"/>
        <v>0</v>
      </c>
      <c r="U212" s="28">
        <f t="shared" si="59"/>
        <v>0</v>
      </c>
      <c r="V212" s="28">
        <f t="shared" si="59"/>
        <v>0</v>
      </c>
      <c r="W212" s="19">
        <f t="shared" si="59"/>
        <v>5096786.9000000004</v>
      </c>
      <c r="X212" s="20" t="s">
        <v>368</v>
      </c>
      <c r="Y212" s="20" t="s">
        <v>368</v>
      </c>
      <c r="Z212" s="156"/>
      <c r="AA212" s="155"/>
    </row>
    <row r="213" spans="1:28" s="116" customFormat="1" ht="19.5" customHeight="1" x14ac:dyDescent="0.25">
      <c r="A213" s="183" t="s">
        <v>172</v>
      </c>
      <c r="B213" s="183"/>
      <c r="C213" s="142"/>
      <c r="D213" s="165"/>
      <c r="E213" s="29">
        <f>SUM(E208:E210)</f>
        <v>3847.7</v>
      </c>
      <c r="F213" s="29">
        <f>SUM(F208:F210)</f>
        <v>3317.8999999999996</v>
      </c>
      <c r="G213" s="19">
        <f>SUM(G208:G210)</f>
        <v>6232641.7299999995</v>
      </c>
      <c r="H213" s="28">
        <f>SUM(H208:H210)</f>
        <v>3259942.59</v>
      </c>
      <c r="I213" s="28"/>
      <c r="J213" s="28">
        <f>SUM(J208:J210)</f>
        <v>0</v>
      </c>
      <c r="K213" s="28">
        <f>SUM(K208:K210)</f>
        <v>2972699.1399999997</v>
      </c>
      <c r="L213" s="28"/>
      <c r="M213" s="28">
        <f>SUM(M208:M210)</f>
        <v>0</v>
      </c>
      <c r="N213" s="28"/>
      <c r="O213" s="28">
        <f>SUM(O208:O210)</f>
        <v>0</v>
      </c>
      <c r="P213" s="28"/>
      <c r="Q213" s="28">
        <f>SUM(Q208:Q210)</f>
        <v>0</v>
      </c>
      <c r="R213" s="28"/>
      <c r="S213" s="28">
        <f>SUM(S208:S210)</f>
        <v>0</v>
      </c>
      <c r="T213" s="28">
        <f>SUM(T208:T210)</f>
        <v>0</v>
      </c>
      <c r="U213" s="28">
        <f>SUM(U208:U210)</f>
        <v>0</v>
      </c>
      <c r="V213" s="28">
        <f>SUM(V208:V210)</f>
        <v>0</v>
      </c>
      <c r="W213" s="19">
        <f>SUM(W208:W210)</f>
        <v>6232641.7299999995</v>
      </c>
      <c r="X213" s="20" t="s">
        <v>368</v>
      </c>
      <c r="Y213" s="20" t="s">
        <v>368</v>
      </c>
      <c r="Z213" s="156"/>
      <c r="AA213" s="155"/>
      <c r="AB213" s="157">
        <f>T213+V213+W213</f>
        <v>6232641.7299999995</v>
      </c>
    </row>
    <row r="214" spans="1:28" s="116" customFormat="1" ht="18" customHeight="1" x14ac:dyDescent="0.25">
      <c r="A214" s="182" t="s">
        <v>174</v>
      </c>
      <c r="B214" s="182"/>
      <c r="C214" s="182"/>
      <c r="D214" s="182"/>
      <c r="E214" s="182"/>
      <c r="F214" s="182"/>
      <c r="G214" s="182"/>
      <c r="H214" s="182"/>
      <c r="I214" s="182"/>
      <c r="J214" s="182"/>
      <c r="K214" s="182"/>
      <c r="L214" s="182"/>
      <c r="M214" s="182"/>
      <c r="N214" s="182"/>
      <c r="O214" s="182"/>
      <c r="P214" s="182"/>
      <c r="Q214" s="182"/>
      <c r="R214" s="182"/>
      <c r="S214" s="182"/>
      <c r="T214" s="182"/>
      <c r="U214" s="182"/>
      <c r="V214" s="182"/>
      <c r="W214" s="182"/>
      <c r="X214" s="167"/>
      <c r="Y214" s="167"/>
      <c r="Z214" s="156"/>
      <c r="AA214" s="155"/>
    </row>
    <row r="215" spans="1:28" s="118" customFormat="1" ht="18" customHeight="1" x14ac:dyDescent="0.25">
      <c r="A215" s="165">
        <f>A210+1</f>
        <v>173</v>
      </c>
      <c r="B215" s="24" t="s">
        <v>387</v>
      </c>
      <c r="C215" s="142">
        <v>1973</v>
      </c>
      <c r="D215" s="165"/>
      <c r="E215" s="45">
        <v>4024.7</v>
      </c>
      <c r="F215" s="45">
        <v>2926</v>
      </c>
      <c r="G215" s="42">
        <f t="shared" ref="G215:G227" si="60">H215+J215+K215+M215+O215+Q215+S215</f>
        <v>2393643.56</v>
      </c>
      <c r="H215" s="35">
        <v>2393643.56</v>
      </c>
      <c r="I215" s="35">
        <f t="shared" ref="I215:I225" si="61">H215/F215</f>
        <v>818.06000000000006</v>
      </c>
      <c r="J215" s="35">
        <v>0</v>
      </c>
      <c r="K215" s="35">
        <v>0</v>
      </c>
      <c r="L215" s="35">
        <f t="shared" ref="L215:L227" si="62">K215/F215</f>
        <v>0</v>
      </c>
      <c r="M215" s="35">
        <v>0</v>
      </c>
      <c r="N215" s="35"/>
      <c r="O215" s="35">
        <v>0</v>
      </c>
      <c r="P215" s="35"/>
      <c r="Q215" s="35">
        <v>0</v>
      </c>
      <c r="R215" s="35"/>
      <c r="S215" s="35">
        <v>0</v>
      </c>
      <c r="T215" s="35">
        <v>0</v>
      </c>
      <c r="U215" s="35">
        <v>0</v>
      </c>
      <c r="V215" s="35">
        <v>0</v>
      </c>
      <c r="W215" s="42">
        <f>G215</f>
        <v>2393643.56</v>
      </c>
      <c r="X215" s="165">
        <v>2016</v>
      </c>
      <c r="Y215" s="165">
        <v>2016</v>
      </c>
      <c r="Z215" s="155">
        <f>Z210+1</f>
        <v>83</v>
      </c>
      <c r="AA215" s="155">
        <v>1</v>
      </c>
    </row>
    <row r="216" spans="1:28" s="118" customFormat="1" ht="18" customHeight="1" x14ac:dyDescent="0.25">
      <c r="A216" s="165">
        <f>A215+1</f>
        <v>174</v>
      </c>
      <c r="B216" s="24" t="s">
        <v>175</v>
      </c>
      <c r="C216" s="142">
        <v>1968</v>
      </c>
      <c r="D216" s="47"/>
      <c r="E216" s="45">
        <v>4323.8999999999996</v>
      </c>
      <c r="F216" s="45">
        <v>3477.8</v>
      </c>
      <c r="G216" s="42">
        <f t="shared" si="60"/>
        <v>8627500</v>
      </c>
      <c r="H216" s="35">
        <v>3880744.91</v>
      </c>
      <c r="I216" s="35">
        <f t="shared" si="61"/>
        <v>1115.8620133417678</v>
      </c>
      <c r="J216" s="35">
        <v>0</v>
      </c>
      <c r="K216" s="35">
        <v>4746755.09</v>
      </c>
      <c r="L216" s="35">
        <f t="shared" si="62"/>
        <v>1364.8729340387599</v>
      </c>
      <c r="M216" s="35">
        <v>0</v>
      </c>
      <c r="N216" s="35"/>
      <c r="O216" s="35">
        <v>0</v>
      </c>
      <c r="P216" s="35"/>
      <c r="Q216" s="35">
        <v>0</v>
      </c>
      <c r="R216" s="35"/>
      <c r="S216" s="35">
        <v>0</v>
      </c>
      <c r="T216" s="35">
        <v>0</v>
      </c>
      <c r="U216" s="35">
        <v>0</v>
      </c>
      <c r="V216" s="35">
        <v>0</v>
      </c>
      <c r="W216" s="42">
        <f t="shared" ref="W216:W227" si="63">G216</f>
        <v>8627500</v>
      </c>
      <c r="X216" s="165">
        <v>2015</v>
      </c>
      <c r="Y216" s="165">
        <v>2016</v>
      </c>
      <c r="Z216" s="155">
        <f>Z215+1</f>
        <v>84</v>
      </c>
      <c r="AA216" s="155">
        <f>AA215+1</f>
        <v>2</v>
      </c>
    </row>
    <row r="217" spans="1:28" s="118" customFormat="1" ht="18" customHeight="1" x14ac:dyDescent="0.25">
      <c r="A217" s="165">
        <f t="shared" ref="A217:A227" si="64">A216+1</f>
        <v>175</v>
      </c>
      <c r="B217" s="24" t="s">
        <v>176</v>
      </c>
      <c r="C217" s="142">
        <v>1969</v>
      </c>
      <c r="D217" s="47"/>
      <c r="E217" s="45">
        <v>4222.2</v>
      </c>
      <c r="F217" s="45">
        <v>3306.9</v>
      </c>
      <c r="G217" s="42">
        <f t="shared" si="60"/>
        <v>4250820</v>
      </c>
      <c r="H217" s="35">
        <v>0</v>
      </c>
      <c r="I217" s="35">
        <f t="shared" si="61"/>
        <v>0</v>
      </c>
      <c r="J217" s="35">
        <v>0</v>
      </c>
      <c r="K217" s="35">
        <v>4250820</v>
      </c>
      <c r="L217" s="35">
        <f t="shared" si="62"/>
        <v>1285.4395355166471</v>
      </c>
      <c r="M217" s="35">
        <v>0</v>
      </c>
      <c r="N217" s="35"/>
      <c r="O217" s="35">
        <v>0</v>
      </c>
      <c r="P217" s="35"/>
      <c r="Q217" s="35">
        <v>0</v>
      </c>
      <c r="R217" s="35"/>
      <c r="S217" s="35">
        <v>0</v>
      </c>
      <c r="T217" s="35">
        <v>0</v>
      </c>
      <c r="U217" s="35">
        <v>0</v>
      </c>
      <c r="V217" s="35">
        <v>0</v>
      </c>
      <c r="W217" s="42">
        <f t="shared" si="63"/>
        <v>4250820</v>
      </c>
      <c r="X217" s="165">
        <v>2015</v>
      </c>
      <c r="Y217" s="165">
        <v>2016</v>
      </c>
      <c r="Z217" s="155">
        <f t="shared" ref="Z217:Z227" si="65">Z216+1</f>
        <v>85</v>
      </c>
      <c r="AA217" s="155">
        <f t="shared" ref="AA217:AA227" si="66">AA216+1</f>
        <v>3</v>
      </c>
    </row>
    <row r="218" spans="1:28" s="118" customFormat="1" ht="18" customHeight="1" x14ac:dyDescent="0.25">
      <c r="A218" s="165">
        <f t="shared" si="64"/>
        <v>176</v>
      </c>
      <c r="B218" s="24" t="s">
        <v>389</v>
      </c>
      <c r="C218" s="142">
        <v>1969</v>
      </c>
      <c r="D218" s="165"/>
      <c r="E218" s="45">
        <v>2317.8000000000002</v>
      </c>
      <c r="F218" s="45">
        <v>1786</v>
      </c>
      <c r="G218" s="42">
        <f t="shared" si="60"/>
        <v>269686</v>
      </c>
      <c r="H218" s="35">
        <v>269686</v>
      </c>
      <c r="I218" s="35">
        <f t="shared" si="61"/>
        <v>151</v>
      </c>
      <c r="J218" s="35">
        <v>0</v>
      </c>
      <c r="K218" s="35">
        <v>0</v>
      </c>
      <c r="L218" s="35">
        <f t="shared" si="62"/>
        <v>0</v>
      </c>
      <c r="M218" s="35">
        <v>0</v>
      </c>
      <c r="N218" s="35"/>
      <c r="O218" s="35">
        <v>0</v>
      </c>
      <c r="P218" s="35"/>
      <c r="Q218" s="35">
        <v>0</v>
      </c>
      <c r="R218" s="35"/>
      <c r="S218" s="35">
        <v>0</v>
      </c>
      <c r="T218" s="35">
        <v>0</v>
      </c>
      <c r="U218" s="35">
        <v>0</v>
      </c>
      <c r="V218" s="35">
        <v>0</v>
      </c>
      <c r="W218" s="42">
        <f t="shared" si="63"/>
        <v>269686</v>
      </c>
      <c r="X218" s="165">
        <v>2016</v>
      </c>
      <c r="Y218" s="165">
        <v>2016</v>
      </c>
      <c r="Z218" s="155">
        <f t="shared" si="65"/>
        <v>86</v>
      </c>
      <c r="AA218" s="155">
        <f t="shared" si="66"/>
        <v>4</v>
      </c>
    </row>
    <row r="219" spans="1:28" s="118" customFormat="1" ht="18" customHeight="1" x14ac:dyDescent="0.25">
      <c r="A219" s="165">
        <f t="shared" si="64"/>
        <v>177</v>
      </c>
      <c r="B219" s="24" t="s">
        <v>390</v>
      </c>
      <c r="C219" s="142">
        <v>1974</v>
      </c>
      <c r="D219" s="165"/>
      <c r="E219" s="42">
        <v>5828.21</v>
      </c>
      <c r="F219" s="45">
        <v>4321.3999999999996</v>
      </c>
      <c r="G219" s="42">
        <f t="shared" si="60"/>
        <v>628417.99</v>
      </c>
      <c r="H219" s="35">
        <v>628417.99</v>
      </c>
      <c r="I219" s="35">
        <f t="shared" si="61"/>
        <v>145.42000046281299</v>
      </c>
      <c r="J219" s="35">
        <v>0</v>
      </c>
      <c r="K219" s="35">
        <v>0</v>
      </c>
      <c r="L219" s="35">
        <f t="shared" si="62"/>
        <v>0</v>
      </c>
      <c r="M219" s="35">
        <v>0</v>
      </c>
      <c r="N219" s="35"/>
      <c r="O219" s="35">
        <v>0</v>
      </c>
      <c r="P219" s="35"/>
      <c r="Q219" s="35">
        <v>0</v>
      </c>
      <c r="R219" s="35"/>
      <c r="S219" s="35">
        <v>0</v>
      </c>
      <c r="T219" s="35">
        <v>0</v>
      </c>
      <c r="U219" s="35">
        <v>0</v>
      </c>
      <c r="V219" s="35">
        <v>0</v>
      </c>
      <c r="W219" s="42">
        <f t="shared" si="63"/>
        <v>628417.99</v>
      </c>
      <c r="X219" s="165">
        <v>2016</v>
      </c>
      <c r="Y219" s="165">
        <v>2016</v>
      </c>
      <c r="Z219" s="155">
        <f t="shared" si="65"/>
        <v>87</v>
      </c>
      <c r="AA219" s="155">
        <f t="shared" si="66"/>
        <v>5</v>
      </c>
    </row>
    <row r="220" spans="1:28" s="118" customFormat="1" ht="18" customHeight="1" x14ac:dyDescent="0.25">
      <c r="A220" s="165">
        <f>A219+1</f>
        <v>178</v>
      </c>
      <c r="B220" s="24" t="s">
        <v>391</v>
      </c>
      <c r="C220" s="142">
        <v>1998</v>
      </c>
      <c r="D220" s="165"/>
      <c r="E220" s="45">
        <v>5801.3</v>
      </c>
      <c r="F220" s="45">
        <v>4434</v>
      </c>
      <c r="G220" s="42">
        <f t="shared" si="60"/>
        <v>478827.66</v>
      </c>
      <c r="H220" s="35">
        <v>478827.66</v>
      </c>
      <c r="I220" s="35">
        <f t="shared" si="61"/>
        <v>107.99</v>
      </c>
      <c r="J220" s="35">
        <v>0</v>
      </c>
      <c r="K220" s="35">
        <v>0</v>
      </c>
      <c r="L220" s="35">
        <f t="shared" si="62"/>
        <v>0</v>
      </c>
      <c r="M220" s="35">
        <v>0</v>
      </c>
      <c r="N220" s="35"/>
      <c r="O220" s="35">
        <v>0</v>
      </c>
      <c r="P220" s="35"/>
      <c r="Q220" s="35">
        <v>0</v>
      </c>
      <c r="R220" s="35"/>
      <c r="S220" s="35">
        <v>0</v>
      </c>
      <c r="T220" s="35">
        <v>0</v>
      </c>
      <c r="U220" s="35">
        <v>0</v>
      </c>
      <c r="V220" s="35">
        <v>0</v>
      </c>
      <c r="W220" s="42">
        <f t="shared" si="63"/>
        <v>478827.66</v>
      </c>
      <c r="X220" s="165">
        <v>2016</v>
      </c>
      <c r="Y220" s="165">
        <v>2016</v>
      </c>
      <c r="Z220" s="155">
        <f t="shared" si="65"/>
        <v>88</v>
      </c>
      <c r="AA220" s="155">
        <f t="shared" si="66"/>
        <v>6</v>
      </c>
    </row>
    <row r="221" spans="1:28" s="118" customFormat="1" ht="18" customHeight="1" x14ac:dyDescent="0.25">
      <c r="A221" s="165">
        <f t="shared" si="64"/>
        <v>179</v>
      </c>
      <c r="B221" s="24" t="s">
        <v>388</v>
      </c>
      <c r="C221" s="142">
        <v>1983</v>
      </c>
      <c r="D221" s="165"/>
      <c r="E221" s="45">
        <v>5859.3</v>
      </c>
      <c r="F221" s="45">
        <v>4397.1000000000004</v>
      </c>
      <c r="G221" s="42">
        <f t="shared" si="60"/>
        <v>4083410.89</v>
      </c>
      <c r="H221" s="35">
        <v>0</v>
      </c>
      <c r="I221" s="35">
        <f t="shared" si="61"/>
        <v>0</v>
      </c>
      <c r="J221" s="35">
        <v>0</v>
      </c>
      <c r="K221" s="35">
        <v>4083410.89</v>
      </c>
      <c r="L221" s="35">
        <f t="shared" si="62"/>
        <v>928.66000090969044</v>
      </c>
      <c r="M221" s="35">
        <v>0</v>
      </c>
      <c r="N221" s="35"/>
      <c r="O221" s="35">
        <v>0</v>
      </c>
      <c r="P221" s="35"/>
      <c r="Q221" s="35">
        <v>0</v>
      </c>
      <c r="R221" s="35"/>
      <c r="S221" s="35">
        <v>0</v>
      </c>
      <c r="T221" s="35">
        <v>0</v>
      </c>
      <c r="U221" s="35">
        <v>0</v>
      </c>
      <c r="V221" s="35">
        <v>0</v>
      </c>
      <c r="W221" s="42">
        <f t="shared" si="63"/>
        <v>4083410.89</v>
      </c>
      <c r="X221" s="165">
        <v>2016</v>
      </c>
      <c r="Y221" s="165">
        <v>2016</v>
      </c>
      <c r="Z221" s="155">
        <f t="shared" si="65"/>
        <v>89</v>
      </c>
      <c r="AA221" s="155">
        <f t="shared" si="66"/>
        <v>7</v>
      </c>
    </row>
    <row r="222" spans="1:28" s="118" customFormat="1" ht="18" customHeight="1" x14ac:dyDescent="0.25">
      <c r="A222" s="165">
        <f t="shared" si="64"/>
        <v>180</v>
      </c>
      <c r="B222" s="24" t="s">
        <v>488</v>
      </c>
      <c r="C222" s="142">
        <v>1954</v>
      </c>
      <c r="D222" s="165"/>
      <c r="E222" s="45">
        <v>563.29999999999995</v>
      </c>
      <c r="F222" s="45">
        <v>517.70000000000005</v>
      </c>
      <c r="G222" s="42">
        <f t="shared" si="60"/>
        <v>2060839.4520000003</v>
      </c>
      <c r="H222" s="35">
        <v>0</v>
      </c>
      <c r="I222" s="35">
        <f t="shared" si="61"/>
        <v>0</v>
      </c>
      <c r="J222" s="35">
        <v>0</v>
      </c>
      <c r="K222" s="42">
        <f>F222*3980.76</f>
        <v>2060839.4520000003</v>
      </c>
      <c r="L222" s="35">
        <f t="shared" si="62"/>
        <v>3980.76</v>
      </c>
      <c r="M222" s="35">
        <v>0</v>
      </c>
      <c r="N222" s="35"/>
      <c r="O222" s="35">
        <v>0</v>
      </c>
      <c r="P222" s="35"/>
      <c r="Q222" s="35">
        <v>0</v>
      </c>
      <c r="R222" s="35"/>
      <c r="S222" s="35">
        <v>0</v>
      </c>
      <c r="T222" s="35">
        <v>0</v>
      </c>
      <c r="U222" s="35">
        <v>0</v>
      </c>
      <c r="V222" s="35">
        <v>0</v>
      </c>
      <c r="W222" s="42">
        <f t="shared" si="63"/>
        <v>2060839.4520000003</v>
      </c>
      <c r="X222" s="165">
        <v>2016</v>
      </c>
      <c r="Y222" s="165">
        <v>2016</v>
      </c>
      <c r="Z222" s="155">
        <f t="shared" si="65"/>
        <v>90</v>
      </c>
      <c r="AA222" s="155">
        <f t="shared" si="66"/>
        <v>8</v>
      </c>
    </row>
    <row r="223" spans="1:28" s="118" customFormat="1" ht="18" customHeight="1" x14ac:dyDescent="0.25">
      <c r="A223" s="165">
        <f t="shared" si="64"/>
        <v>181</v>
      </c>
      <c r="B223" s="24" t="s">
        <v>489</v>
      </c>
      <c r="C223" s="142">
        <v>1955</v>
      </c>
      <c r="D223" s="165"/>
      <c r="E223" s="45">
        <v>241.3</v>
      </c>
      <c r="F223" s="45">
        <v>218.7</v>
      </c>
      <c r="G223" s="42">
        <f t="shared" si="60"/>
        <v>870592.21200000006</v>
      </c>
      <c r="H223" s="35">
        <v>0</v>
      </c>
      <c r="I223" s="35">
        <f t="shared" si="61"/>
        <v>0</v>
      </c>
      <c r="J223" s="35">
        <v>0</v>
      </c>
      <c r="K223" s="35">
        <f>F223*3980.76</f>
        <v>870592.21200000006</v>
      </c>
      <c r="L223" s="35">
        <f t="shared" si="62"/>
        <v>3980.7600000000007</v>
      </c>
      <c r="M223" s="35">
        <v>0</v>
      </c>
      <c r="N223" s="35"/>
      <c r="O223" s="35">
        <v>0</v>
      </c>
      <c r="P223" s="35"/>
      <c r="Q223" s="35">
        <v>0</v>
      </c>
      <c r="R223" s="35"/>
      <c r="S223" s="35">
        <v>0</v>
      </c>
      <c r="T223" s="35">
        <v>0</v>
      </c>
      <c r="U223" s="35">
        <v>0</v>
      </c>
      <c r="V223" s="35">
        <v>0</v>
      </c>
      <c r="W223" s="42">
        <f t="shared" si="63"/>
        <v>870592.21200000006</v>
      </c>
      <c r="X223" s="165">
        <v>2016</v>
      </c>
      <c r="Y223" s="165">
        <v>2016</v>
      </c>
      <c r="Z223" s="155">
        <f t="shared" si="65"/>
        <v>91</v>
      </c>
      <c r="AA223" s="155">
        <f t="shared" si="66"/>
        <v>9</v>
      </c>
    </row>
    <row r="224" spans="1:28" s="118" customFormat="1" ht="18" customHeight="1" x14ac:dyDescent="0.25">
      <c r="A224" s="165">
        <f t="shared" si="64"/>
        <v>182</v>
      </c>
      <c r="B224" s="24" t="s">
        <v>490</v>
      </c>
      <c r="C224" s="142">
        <v>1984</v>
      </c>
      <c r="D224" s="165"/>
      <c r="E224" s="45">
        <v>793.4</v>
      </c>
      <c r="F224" s="45">
        <v>726</v>
      </c>
      <c r="G224" s="42">
        <f t="shared" si="60"/>
        <v>299533.08</v>
      </c>
      <c r="H224" s="35">
        <v>299533.08</v>
      </c>
      <c r="I224" s="35">
        <f t="shared" si="61"/>
        <v>412.58000000000004</v>
      </c>
      <c r="J224" s="35">
        <v>0</v>
      </c>
      <c r="K224" s="35">
        <v>0</v>
      </c>
      <c r="L224" s="35">
        <f t="shared" si="62"/>
        <v>0</v>
      </c>
      <c r="M224" s="35">
        <v>0</v>
      </c>
      <c r="N224" s="35"/>
      <c r="O224" s="35">
        <v>0</v>
      </c>
      <c r="P224" s="35"/>
      <c r="Q224" s="35">
        <v>0</v>
      </c>
      <c r="R224" s="35"/>
      <c r="S224" s="35">
        <v>0</v>
      </c>
      <c r="T224" s="35">
        <v>0</v>
      </c>
      <c r="U224" s="35">
        <v>0</v>
      </c>
      <c r="V224" s="35">
        <v>0</v>
      </c>
      <c r="W224" s="42">
        <f t="shared" si="63"/>
        <v>299533.08</v>
      </c>
      <c r="X224" s="165">
        <v>2016</v>
      </c>
      <c r="Y224" s="165">
        <v>2016</v>
      </c>
      <c r="Z224" s="155">
        <f t="shared" si="65"/>
        <v>92</v>
      </c>
      <c r="AA224" s="155">
        <f t="shared" si="66"/>
        <v>10</v>
      </c>
    </row>
    <row r="225" spans="1:28" s="118" customFormat="1" ht="18" customHeight="1" x14ac:dyDescent="0.25">
      <c r="A225" s="165">
        <f t="shared" si="64"/>
        <v>183</v>
      </c>
      <c r="B225" s="24" t="s">
        <v>491</v>
      </c>
      <c r="C225" s="142">
        <v>1977</v>
      </c>
      <c r="D225" s="165"/>
      <c r="E225" s="45">
        <v>449.3</v>
      </c>
      <c r="F225" s="45">
        <v>412.2</v>
      </c>
      <c r="G225" s="42">
        <f t="shared" si="60"/>
        <v>1468367.69</v>
      </c>
      <c r="H225" s="35">
        <v>0</v>
      </c>
      <c r="I225" s="35">
        <f t="shared" si="61"/>
        <v>0</v>
      </c>
      <c r="J225" s="35">
        <v>0</v>
      </c>
      <c r="K225" s="35">
        <v>1468367.69</v>
      </c>
      <c r="L225" s="35">
        <f t="shared" si="62"/>
        <v>3562.269990295973</v>
      </c>
      <c r="M225" s="35">
        <v>0</v>
      </c>
      <c r="N225" s="35"/>
      <c r="O225" s="35">
        <v>0</v>
      </c>
      <c r="P225" s="35"/>
      <c r="Q225" s="35">
        <v>0</v>
      </c>
      <c r="R225" s="35"/>
      <c r="S225" s="35">
        <v>0</v>
      </c>
      <c r="T225" s="35">
        <v>0</v>
      </c>
      <c r="U225" s="35">
        <v>0</v>
      </c>
      <c r="V225" s="35">
        <v>0</v>
      </c>
      <c r="W225" s="42">
        <f t="shared" si="63"/>
        <v>1468367.69</v>
      </c>
      <c r="X225" s="165">
        <v>2016</v>
      </c>
      <c r="Y225" s="165">
        <v>2016</v>
      </c>
      <c r="Z225" s="155">
        <f t="shared" si="65"/>
        <v>93</v>
      </c>
      <c r="AA225" s="155">
        <f t="shared" si="66"/>
        <v>11</v>
      </c>
    </row>
    <row r="226" spans="1:28" s="118" customFormat="1" ht="18" customHeight="1" x14ac:dyDescent="0.25">
      <c r="A226" s="165">
        <f t="shared" si="64"/>
        <v>184</v>
      </c>
      <c r="B226" s="24" t="s">
        <v>492</v>
      </c>
      <c r="C226" s="142">
        <v>1989</v>
      </c>
      <c r="D226" s="165"/>
      <c r="E226" s="45">
        <v>854.8</v>
      </c>
      <c r="F226" s="45">
        <v>761.5</v>
      </c>
      <c r="G226" s="42">
        <f t="shared" si="60"/>
        <v>2712668.61</v>
      </c>
      <c r="H226" s="35">
        <v>0</v>
      </c>
      <c r="I226" s="35"/>
      <c r="J226" s="35">
        <v>0</v>
      </c>
      <c r="K226" s="35">
        <v>2712668.61</v>
      </c>
      <c r="L226" s="35">
        <f t="shared" si="62"/>
        <v>3562.2700065659878</v>
      </c>
      <c r="M226" s="35">
        <v>0</v>
      </c>
      <c r="N226" s="35"/>
      <c r="O226" s="35">
        <v>0</v>
      </c>
      <c r="P226" s="35"/>
      <c r="Q226" s="35">
        <v>0</v>
      </c>
      <c r="R226" s="35"/>
      <c r="S226" s="35">
        <v>0</v>
      </c>
      <c r="T226" s="35">
        <v>0</v>
      </c>
      <c r="U226" s="35">
        <v>0</v>
      </c>
      <c r="V226" s="35">
        <v>0</v>
      </c>
      <c r="W226" s="42">
        <f t="shared" si="63"/>
        <v>2712668.61</v>
      </c>
      <c r="X226" s="165">
        <v>2016</v>
      </c>
      <c r="Y226" s="165">
        <v>2016</v>
      </c>
      <c r="Z226" s="155">
        <f t="shared" si="65"/>
        <v>94</v>
      </c>
      <c r="AA226" s="155">
        <f t="shared" si="66"/>
        <v>12</v>
      </c>
    </row>
    <row r="227" spans="1:28" s="118" customFormat="1" ht="18" customHeight="1" x14ac:dyDescent="0.25">
      <c r="A227" s="165">
        <f t="shared" si="64"/>
        <v>185</v>
      </c>
      <c r="B227" s="24" t="s">
        <v>493</v>
      </c>
      <c r="C227" s="142">
        <v>1991</v>
      </c>
      <c r="D227" s="165"/>
      <c r="E227" s="45">
        <v>608.70000000000005</v>
      </c>
      <c r="F227" s="45">
        <v>550.70000000000005</v>
      </c>
      <c r="G227" s="42">
        <f t="shared" si="60"/>
        <v>227207.81</v>
      </c>
      <c r="H227" s="35">
        <v>227207.81</v>
      </c>
      <c r="I227" s="35">
        <f>H227/F227</f>
        <v>412.5800072634828</v>
      </c>
      <c r="J227" s="35">
        <v>0</v>
      </c>
      <c r="K227" s="35">
        <v>0</v>
      </c>
      <c r="L227" s="35">
        <f t="shared" si="62"/>
        <v>0</v>
      </c>
      <c r="M227" s="35">
        <v>0</v>
      </c>
      <c r="N227" s="35"/>
      <c r="O227" s="35">
        <v>0</v>
      </c>
      <c r="P227" s="35"/>
      <c r="Q227" s="35">
        <v>0</v>
      </c>
      <c r="R227" s="35"/>
      <c r="S227" s="35">
        <v>0</v>
      </c>
      <c r="T227" s="35">
        <v>0</v>
      </c>
      <c r="U227" s="35">
        <v>0</v>
      </c>
      <c r="V227" s="35">
        <v>0</v>
      </c>
      <c r="W227" s="42">
        <f t="shared" si="63"/>
        <v>227207.81</v>
      </c>
      <c r="X227" s="165">
        <v>2016</v>
      </c>
      <c r="Y227" s="165">
        <v>2016</v>
      </c>
      <c r="Z227" s="155">
        <f t="shared" si="65"/>
        <v>95</v>
      </c>
      <c r="AA227" s="155">
        <f t="shared" si="66"/>
        <v>13</v>
      </c>
    </row>
    <row r="228" spans="1:28" s="116" customFormat="1" ht="19.5" customHeight="1" x14ac:dyDescent="0.25">
      <c r="A228" s="183" t="s">
        <v>173</v>
      </c>
      <c r="B228" s="183"/>
      <c r="C228" s="142"/>
      <c r="D228" s="165"/>
      <c r="E228" s="28">
        <v>0</v>
      </c>
      <c r="F228" s="28">
        <v>0</v>
      </c>
      <c r="G228" s="19">
        <v>0</v>
      </c>
      <c r="H228" s="28">
        <v>0</v>
      </c>
      <c r="I228" s="28"/>
      <c r="J228" s="28">
        <v>0</v>
      </c>
      <c r="K228" s="28">
        <v>0</v>
      </c>
      <c r="L228" s="28">
        <v>0</v>
      </c>
      <c r="M228" s="28">
        <v>0</v>
      </c>
      <c r="N228" s="28"/>
      <c r="O228" s="28">
        <v>0</v>
      </c>
      <c r="P228" s="28"/>
      <c r="Q228" s="28">
        <v>0</v>
      </c>
      <c r="R228" s="28"/>
      <c r="S228" s="28">
        <v>0</v>
      </c>
      <c r="T228" s="28">
        <v>0</v>
      </c>
      <c r="U228" s="28">
        <v>0</v>
      </c>
      <c r="V228" s="28">
        <v>0</v>
      </c>
      <c r="W228" s="19">
        <v>0</v>
      </c>
      <c r="X228" s="20" t="s">
        <v>368</v>
      </c>
      <c r="Y228" s="20" t="s">
        <v>368</v>
      </c>
      <c r="Z228" s="156"/>
      <c r="AA228" s="156"/>
    </row>
    <row r="229" spans="1:28" s="116" customFormat="1" ht="19.5" customHeight="1" x14ac:dyDescent="0.25">
      <c r="A229" s="183" t="s">
        <v>171</v>
      </c>
      <c r="B229" s="183"/>
      <c r="C229" s="142"/>
      <c r="D229" s="165"/>
      <c r="E229" s="28">
        <v>0</v>
      </c>
      <c r="F229" s="28">
        <v>0</v>
      </c>
      <c r="G229" s="19">
        <v>0</v>
      </c>
      <c r="H229" s="28">
        <v>0</v>
      </c>
      <c r="I229" s="28"/>
      <c r="J229" s="28">
        <v>0</v>
      </c>
      <c r="K229" s="28">
        <v>0</v>
      </c>
      <c r="L229" s="28">
        <v>0</v>
      </c>
      <c r="M229" s="28">
        <v>0</v>
      </c>
      <c r="N229" s="28"/>
      <c r="O229" s="28">
        <v>0</v>
      </c>
      <c r="P229" s="28"/>
      <c r="Q229" s="28">
        <v>0</v>
      </c>
      <c r="R229" s="28"/>
      <c r="S229" s="28">
        <v>0</v>
      </c>
      <c r="T229" s="28">
        <v>0</v>
      </c>
      <c r="U229" s="28">
        <v>0</v>
      </c>
      <c r="V229" s="28">
        <v>0</v>
      </c>
      <c r="W229" s="19">
        <v>0</v>
      </c>
      <c r="X229" s="20" t="s">
        <v>368</v>
      </c>
      <c r="Y229" s="20" t="s">
        <v>368</v>
      </c>
      <c r="Z229" s="156"/>
      <c r="AA229" s="156"/>
    </row>
    <row r="230" spans="1:28" s="116" customFormat="1" ht="19.5" customHeight="1" x14ac:dyDescent="0.25">
      <c r="A230" s="183" t="s">
        <v>172</v>
      </c>
      <c r="B230" s="183"/>
      <c r="C230" s="142"/>
      <c r="D230" s="165"/>
      <c r="E230" s="28">
        <f>SUM(E215:E227)</f>
        <v>35888.210000000006</v>
      </c>
      <c r="F230" s="28">
        <f t="shared" ref="F230:W230" si="67">SUM(F215:F227)</f>
        <v>27836</v>
      </c>
      <c r="G230" s="28">
        <f t="shared" si="67"/>
        <v>28371514.954</v>
      </c>
      <c r="H230" s="28">
        <f t="shared" si="67"/>
        <v>8178061.0100000007</v>
      </c>
      <c r="I230" s="28">
        <f t="shared" si="67"/>
        <v>3163.4920210680634</v>
      </c>
      <c r="J230" s="28">
        <f t="shared" si="67"/>
        <v>0</v>
      </c>
      <c r="K230" s="28">
        <f t="shared" si="67"/>
        <v>20193453.943999998</v>
      </c>
      <c r="L230" s="28">
        <f t="shared" si="67"/>
        <v>18665.032467327059</v>
      </c>
      <c r="M230" s="28">
        <f t="shared" si="67"/>
        <v>0</v>
      </c>
      <c r="N230" s="28">
        <f t="shared" si="67"/>
        <v>0</v>
      </c>
      <c r="O230" s="28">
        <f t="shared" si="67"/>
        <v>0</v>
      </c>
      <c r="P230" s="28">
        <f t="shared" si="67"/>
        <v>0</v>
      </c>
      <c r="Q230" s="28">
        <f t="shared" si="67"/>
        <v>0</v>
      </c>
      <c r="R230" s="28">
        <f t="shared" si="67"/>
        <v>0</v>
      </c>
      <c r="S230" s="28">
        <f t="shared" si="67"/>
        <v>0</v>
      </c>
      <c r="T230" s="28">
        <f t="shared" si="67"/>
        <v>0</v>
      </c>
      <c r="U230" s="28">
        <f t="shared" si="67"/>
        <v>0</v>
      </c>
      <c r="V230" s="28">
        <f t="shared" si="67"/>
        <v>0</v>
      </c>
      <c r="W230" s="28">
        <f t="shared" si="67"/>
        <v>28371514.954</v>
      </c>
      <c r="X230" s="20" t="s">
        <v>368</v>
      </c>
      <c r="Y230" s="20" t="s">
        <v>368</v>
      </c>
      <c r="Z230" s="156"/>
      <c r="AA230" s="156"/>
      <c r="AB230" s="157">
        <f>T230+V230+W230</f>
        <v>28371514.954</v>
      </c>
    </row>
    <row r="231" spans="1:28" s="116" customFormat="1" ht="18" customHeight="1" x14ac:dyDescent="0.25">
      <c r="A231" s="182" t="s">
        <v>100</v>
      </c>
      <c r="B231" s="182"/>
      <c r="C231" s="182"/>
      <c r="D231" s="182"/>
      <c r="E231" s="182"/>
      <c r="F231" s="182"/>
      <c r="G231" s="182"/>
      <c r="H231" s="182"/>
      <c r="I231" s="182"/>
      <c r="J231" s="182"/>
      <c r="K231" s="182"/>
      <c r="L231" s="182"/>
      <c r="M231" s="182"/>
      <c r="N231" s="182"/>
      <c r="O231" s="182"/>
      <c r="P231" s="182"/>
      <c r="Q231" s="182"/>
      <c r="R231" s="182"/>
      <c r="S231" s="182"/>
      <c r="T231" s="182"/>
      <c r="U231" s="182"/>
      <c r="V231" s="182"/>
      <c r="W231" s="182"/>
      <c r="X231" s="119"/>
      <c r="Y231" s="119"/>
      <c r="Z231" s="156"/>
      <c r="AA231" s="155"/>
    </row>
    <row r="232" spans="1:28" s="118" customFormat="1" ht="18" customHeight="1" x14ac:dyDescent="0.25">
      <c r="A232" s="165">
        <f>A227+1</f>
        <v>186</v>
      </c>
      <c r="B232" s="24" t="s">
        <v>73</v>
      </c>
      <c r="C232" s="142">
        <v>1985</v>
      </c>
      <c r="D232" s="165"/>
      <c r="E232" s="41">
        <v>5813.2</v>
      </c>
      <c r="F232" s="45">
        <v>5223.2</v>
      </c>
      <c r="G232" s="42">
        <f t="shared" ref="G232:G253" si="68">SUM(H232:S232)</f>
        <v>400000</v>
      </c>
      <c r="H232" s="23">
        <v>400000</v>
      </c>
      <c r="I232" s="35"/>
      <c r="J232" s="35">
        <v>0</v>
      </c>
      <c r="K232" s="35">
        <v>0</v>
      </c>
      <c r="L232" s="35"/>
      <c r="M232" s="35">
        <v>0</v>
      </c>
      <c r="N232" s="35"/>
      <c r="O232" s="35">
        <v>0</v>
      </c>
      <c r="P232" s="35"/>
      <c r="Q232" s="35">
        <v>0</v>
      </c>
      <c r="R232" s="35"/>
      <c r="S232" s="35">
        <v>0</v>
      </c>
      <c r="T232" s="52">
        <v>178960</v>
      </c>
      <c r="U232" s="35">
        <v>0</v>
      </c>
      <c r="V232" s="52">
        <v>221040</v>
      </c>
      <c r="W232" s="42">
        <v>0</v>
      </c>
      <c r="X232" s="165">
        <v>2014</v>
      </c>
      <c r="Y232" s="165">
        <v>2015</v>
      </c>
      <c r="Z232" s="155"/>
      <c r="AA232" s="155"/>
    </row>
    <row r="233" spans="1:28" s="118" customFormat="1" ht="18" customHeight="1" x14ac:dyDescent="0.25">
      <c r="A233" s="165">
        <f>A232+1</f>
        <v>187</v>
      </c>
      <c r="B233" s="24" t="s">
        <v>74</v>
      </c>
      <c r="C233" s="142">
        <v>1985</v>
      </c>
      <c r="D233" s="165"/>
      <c r="E233" s="41">
        <v>6353.3</v>
      </c>
      <c r="F233" s="45">
        <v>5672.6</v>
      </c>
      <c r="G233" s="42">
        <f t="shared" si="68"/>
        <v>400000</v>
      </c>
      <c r="H233" s="23">
        <v>400000</v>
      </c>
      <c r="I233" s="35"/>
      <c r="J233" s="35">
        <v>0</v>
      </c>
      <c r="K233" s="35">
        <v>0</v>
      </c>
      <c r="L233" s="35"/>
      <c r="M233" s="35">
        <v>0</v>
      </c>
      <c r="N233" s="35"/>
      <c r="O233" s="35">
        <v>0</v>
      </c>
      <c r="P233" s="35"/>
      <c r="Q233" s="35">
        <v>0</v>
      </c>
      <c r="R233" s="35"/>
      <c r="S233" s="35">
        <v>0</v>
      </c>
      <c r="T233" s="52">
        <v>178960</v>
      </c>
      <c r="U233" s="35">
        <v>0</v>
      </c>
      <c r="V233" s="52">
        <v>221040</v>
      </c>
      <c r="W233" s="42">
        <v>0</v>
      </c>
      <c r="X233" s="165">
        <v>2014</v>
      </c>
      <c r="Y233" s="165">
        <v>2015</v>
      </c>
      <c r="Z233" s="155"/>
      <c r="AA233" s="155"/>
    </row>
    <row r="234" spans="1:28" s="118" customFormat="1" ht="18" customHeight="1" x14ac:dyDescent="0.25">
      <c r="A234" s="165">
        <f t="shared" ref="A234:A281" si="69">A233+1</f>
        <v>188</v>
      </c>
      <c r="B234" s="24" t="s">
        <v>79</v>
      </c>
      <c r="C234" s="142">
        <v>1986</v>
      </c>
      <c r="D234" s="165"/>
      <c r="E234" s="41">
        <v>6453.3</v>
      </c>
      <c r="F234" s="45">
        <v>5933.1</v>
      </c>
      <c r="G234" s="42">
        <f t="shared" si="68"/>
        <v>400000</v>
      </c>
      <c r="H234" s="23">
        <v>400000</v>
      </c>
      <c r="I234" s="35"/>
      <c r="J234" s="35">
        <v>0</v>
      </c>
      <c r="K234" s="35">
        <v>0</v>
      </c>
      <c r="L234" s="35"/>
      <c r="M234" s="35">
        <v>0</v>
      </c>
      <c r="N234" s="35"/>
      <c r="O234" s="35">
        <v>0</v>
      </c>
      <c r="P234" s="35"/>
      <c r="Q234" s="35">
        <v>0</v>
      </c>
      <c r="R234" s="35"/>
      <c r="S234" s="35">
        <v>0</v>
      </c>
      <c r="T234" s="52">
        <v>178960</v>
      </c>
      <c r="U234" s="35">
        <v>0</v>
      </c>
      <c r="V234" s="52">
        <v>221040</v>
      </c>
      <c r="W234" s="42">
        <v>0</v>
      </c>
      <c r="X234" s="165">
        <v>2014</v>
      </c>
      <c r="Y234" s="165">
        <v>2015</v>
      </c>
      <c r="Z234" s="155"/>
      <c r="AA234" s="155"/>
    </row>
    <row r="235" spans="1:28" s="118" customFormat="1" ht="18" customHeight="1" x14ac:dyDescent="0.25">
      <c r="A235" s="165">
        <f t="shared" si="69"/>
        <v>189</v>
      </c>
      <c r="B235" s="24" t="s">
        <v>82</v>
      </c>
      <c r="C235" s="142">
        <v>1987</v>
      </c>
      <c r="D235" s="165"/>
      <c r="E235" s="41">
        <v>6060.5</v>
      </c>
      <c r="F235" s="45">
        <v>5500.3</v>
      </c>
      <c r="G235" s="42">
        <f t="shared" si="68"/>
        <v>600000</v>
      </c>
      <c r="H235" s="23">
        <v>600000</v>
      </c>
      <c r="I235" s="35"/>
      <c r="J235" s="35">
        <v>0</v>
      </c>
      <c r="K235" s="35">
        <v>0</v>
      </c>
      <c r="L235" s="35"/>
      <c r="M235" s="35">
        <v>0</v>
      </c>
      <c r="N235" s="35"/>
      <c r="O235" s="35">
        <v>0</v>
      </c>
      <c r="P235" s="35"/>
      <c r="Q235" s="35">
        <v>0</v>
      </c>
      <c r="R235" s="35"/>
      <c r="S235" s="35">
        <v>0</v>
      </c>
      <c r="T235" s="52">
        <v>268440</v>
      </c>
      <c r="U235" s="35">
        <v>0</v>
      </c>
      <c r="V235" s="52">
        <v>331560</v>
      </c>
      <c r="W235" s="42">
        <v>0</v>
      </c>
      <c r="X235" s="165">
        <v>2014</v>
      </c>
      <c r="Y235" s="165">
        <v>2015</v>
      </c>
      <c r="Z235" s="155"/>
      <c r="AA235" s="155"/>
    </row>
    <row r="236" spans="1:28" s="118" customFormat="1" ht="18" customHeight="1" x14ac:dyDescent="0.25">
      <c r="A236" s="165">
        <f t="shared" si="69"/>
        <v>190</v>
      </c>
      <c r="B236" s="24" t="s">
        <v>80</v>
      </c>
      <c r="C236" s="142">
        <v>1987</v>
      </c>
      <c r="D236" s="165"/>
      <c r="E236" s="41">
        <v>4786.1000000000004</v>
      </c>
      <c r="F236" s="45">
        <v>4287.8999999999996</v>
      </c>
      <c r="G236" s="42">
        <f t="shared" si="68"/>
        <v>600000</v>
      </c>
      <c r="H236" s="23">
        <v>600000</v>
      </c>
      <c r="I236" s="35"/>
      <c r="J236" s="35">
        <v>0</v>
      </c>
      <c r="K236" s="35">
        <v>0</v>
      </c>
      <c r="L236" s="35"/>
      <c r="M236" s="35">
        <v>0</v>
      </c>
      <c r="N236" s="35"/>
      <c r="O236" s="35">
        <v>0</v>
      </c>
      <c r="P236" s="35"/>
      <c r="Q236" s="35">
        <v>0</v>
      </c>
      <c r="R236" s="35"/>
      <c r="S236" s="35">
        <v>0</v>
      </c>
      <c r="T236" s="52">
        <v>268440</v>
      </c>
      <c r="U236" s="35">
        <v>0</v>
      </c>
      <c r="V236" s="52">
        <v>331560</v>
      </c>
      <c r="W236" s="42">
        <v>0</v>
      </c>
      <c r="X236" s="165">
        <v>2014</v>
      </c>
      <c r="Y236" s="165">
        <v>2015</v>
      </c>
      <c r="Z236" s="155"/>
      <c r="AA236" s="155"/>
    </row>
    <row r="237" spans="1:28" s="118" customFormat="1" ht="18" customHeight="1" x14ac:dyDescent="0.25">
      <c r="A237" s="165">
        <f t="shared" si="69"/>
        <v>191</v>
      </c>
      <c r="B237" s="24" t="s">
        <v>81</v>
      </c>
      <c r="C237" s="142">
        <v>1988</v>
      </c>
      <c r="D237" s="165"/>
      <c r="E237" s="41">
        <v>946.8</v>
      </c>
      <c r="F237" s="45">
        <v>853.5</v>
      </c>
      <c r="G237" s="42">
        <f t="shared" si="68"/>
        <v>600000</v>
      </c>
      <c r="H237" s="23">
        <v>600000</v>
      </c>
      <c r="I237" s="35"/>
      <c r="J237" s="35">
        <v>0</v>
      </c>
      <c r="K237" s="35">
        <v>0</v>
      </c>
      <c r="L237" s="35"/>
      <c r="M237" s="35">
        <v>0</v>
      </c>
      <c r="N237" s="35"/>
      <c r="O237" s="35">
        <v>0</v>
      </c>
      <c r="P237" s="35"/>
      <c r="Q237" s="35">
        <v>0</v>
      </c>
      <c r="R237" s="35"/>
      <c r="S237" s="35">
        <v>0</v>
      </c>
      <c r="T237" s="52">
        <v>268440</v>
      </c>
      <c r="U237" s="35">
        <v>0</v>
      </c>
      <c r="V237" s="52">
        <v>331560</v>
      </c>
      <c r="W237" s="42">
        <v>0</v>
      </c>
      <c r="X237" s="165">
        <v>2014</v>
      </c>
      <c r="Y237" s="165">
        <v>2015</v>
      </c>
      <c r="Z237" s="155"/>
      <c r="AA237" s="155"/>
    </row>
    <row r="238" spans="1:28" s="118" customFormat="1" ht="18" customHeight="1" x14ac:dyDescent="0.25">
      <c r="A238" s="165">
        <f t="shared" si="69"/>
        <v>192</v>
      </c>
      <c r="B238" s="24" t="s">
        <v>84</v>
      </c>
      <c r="C238" s="142">
        <v>1969</v>
      </c>
      <c r="D238" s="165"/>
      <c r="E238" s="41">
        <v>3298.4</v>
      </c>
      <c r="F238" s="45">
        <v>2808.9</v>
      </c>
      <c r="G238" s="42">
        <f t="shared" si="68"/>
        <v>600000</v>
      </c>
      <c r="H238" s="23">
        <v>600000</v>
      </c>
      <c r="I238" s="35"/>
      <c r="J238" s="35">
        <v>0</v>
      </c>
      <c r="K238" s="35">
        <v>0</v>
      </c>
      <c r="L238" s="35"/>
      <c r="M238" s="35">
        <v>0</v>
      </c>
      <c r="N238" s="35"/>
      <c r="O238" s="35"/>
      <c r="P238" s="35"/>
      <c r="Q238" s="35">
        <v>0</v>
      </c>
      <c r="R238" s="35"/>
      <c r="S238" s="35">
        <v>0</v>
      </c>
      <c r="T238" s="52">
        <v>268440</v>
      </c>
      <c r="U238" s="35">
        <v>0</v>
      </c>
      <c r="V238" s="52">
        <v>331560</v>
      </c>
      <c r="W238" s="42">
        <v>0</v>
      </c>
      <c r="X238" s="165">
        <v>2014</v>
      </c>
      <c r="Y238" s="165">
        <v>2015</v>
      </c>
      <c r="Z238" s="155"/>
      <c r="AA238" s="155"/>
    </row>
    <row r="239" spans="1:28" s="118" customFormat="1" ht="18" customHeight="1" x14ac:dyDescent="0.25">
      <c r="A239" s="165">
        <f t="shared" si="69"/>
        <v>193</v>
      </c>
      <c r="B239" s="24" t="s">
        <v>85</v>
      </c>
      <c r="C239" s="142">
        <v>1960</v>
      </c>
      <c r="D239" s="165"/>
      <c r="E239" s="41">
        <v>2049</v>
      </c>
      <c r="F239" s="45">
        <v>1927.7</v>
      </c>
      <c r="G239" s="42">
        <f t="shared" si="68"/>
        <v>500000</v>
      </c>
      <c r="H239" s="23">
        <v>500000</v>
      </c>
      <c r="I239" s="35"/>
      <c r="J239" s="35">
        <v>0</v>
      </c>
      <c r="K239" s="35">
        <v>0</v>
      </c>
      <c r="L239" s="35"/>
      <c r="M239" s="35">
        <v>0</v>
      </c>
      <c r="N239" s="35"/>
      <c r="O239" s="35"/>
      <c r="P239" s="35"/>
      <c r="Q239" s="35">
        <v>0</v>
      </c>
      <c r="R239" s="35"/>
      <c r="S239" s="35">
        <v>0</v>
      </c>
      <c r="T239" s="52">
        <v>223700</v>
      </c>
      <c r="U239" s="35">
        <v>0</v>
      </c>
      <c r="V239" s="52">
        <v>276300</v>
      </c>
      <c r="W239" s="42">
        <v>0</v>
      </c>
      <c r="X239" s="165">
        <v>2014</v>
      </c>
      <c r="Y239" s="165">
        <v>2015</v>
      </c>
      <c r="Z239" s="155"/>
      <c r="AA239" s="155"/>
    </row>
    <row r="240" spans="1:28" s="118" customFormat="1" ht="18" customHeight="1" x14ac:dyDescent="0.25">
      <c r="A240" s="165">
        <f t="shared" si="69"/>
        <v>194</v>
      </c>
      <c r="B240" s="24" t="s">
        <v>83</v>
      </c>
      <c r="C240" s="142">
        <v>1965</v>
      </c>
      <c r="D240" s="165"/>
      <c r="E240" s="41">
        <v>4183.5</v>
      </c>
      <c r="F240" s="45">
        <v>3932.7</v>
      </c>
      <c r="G240" s="42">
        <f t="shared" si="68"/>
        <v>600000</v>
      </c>
      <c r="H240" s="23">
        <v>600000</v>
      </c>
      <c r="I240" s="35"/>
      <c r="J240" s="35">
        <v>0</v>
      </c>
      <c r="K240" s="35">
        <v>0</v>
      </c>
      <c r="L240" s="35"/>
      <c r="M240" s="35">
        <v>0</v>
      </c>
      <c r="N240" s="35"/>
      <c r="O240" s="35"/>
      <c r="P240" s="35"/>
      <c r="Q240" s="35">
        <v>0</v>
      </c>
      <c r="R240" s="35"/>
      <c r="S240" s="35">
        <v>0</v>
      </c>
      <c r="T240" s="52">
        <v>268440</v>
      </c>
      <c r="U240" s="35">
        <v>0</v>
      </c>
      <c r="V240" s="52">
        <v>331560</v>
      </c>
      <c r="W240" s="42">
        <v>0</v>
      </c>
      <c r="X240" s="165">
        <v>2014</v>
      </c>
      <c r="Y240" s="165">
        <v>2015</v>
      </c>
      <c r="Z240" s="155"/>
      <c r="AA240" s="155"/>
    </row>
    <row r="241" spans="1:27" s="118" customFormat="1" ht="18" customHeight="1" x14ac:dyDescent="0.25">
      <c r="A241" s="165">
        <f t="shared" si="69"/>
        <v>195</v>
      </c>
      <c r="B241" s="24" t="s">
        <v>78</v>
      </c>
      <c r="C241" s="142">
        <v>1991</v>
      </c>
      <c r="D241" s="165"/>
      <c r="E241" s="41">
        <v>3551.9</v>
      </c>
      <c r="F241" s="45">
        <v>3176.2</v>
      </c>
      <c r="G241" s="42">
        <f t="shared" si="68"/>
        <v>500000</v>
      </c>
      <c r="H241" s="23">
        <v>500000</v>
      </c>
      <c r="I241" s="35"/>
      <c r="J241" s="35">
        <v>0</v>
      </c>
      <c r="K241" s="35">
        <v>0</v>
      </c>
      <c r="L241" s="35"/>
      <c r="M241" s="35">
        <v>0</v>
      </c>
      <c r="N241" s="35"/>
      <c r="O241" s="35">
        <v>0</v>
      </c>
      <c r="P241" s="35"/>
      <c r="Q241" s="35">
        <v>0</v>
      </c>
      <c r="R241" s="35"/>
      <c r="S241" s="35">
        <v>0</v>
      </c>
      <c r="T241" s="52">
        <v>223700</v>
      </c>
      <c r="U241" s="35">
        <v>0</v>
      </c>
      <c r="V241" s="52">
        <v>276300</v>
      </c>
      <c r="W241" s="42">
        <v>0</v>
      </c>
      <c r="X241" s="165">
        <v>2014</v>
      </c>
      <c r="Y241" s="165">
        <v>2015</v>
      </c>
      <c r="Z241" s="155"/>
      <c r="AA241" s="155"/>
    </row>
    <row r="242" spans="1:27" s="118" customFormat="1" ht="18" customHeight="1" x14ac:dyDescent="0.25">
      <c r="A242" s="165">
        <f t="shared" si="69"/>
        <v>196</v>
      </c>
      <c r="B242" s="24" t="s">
        <v>32</v>
      </c>
      <c r="C242" s="142">
        <v>1967</v>
      </c>
      <c r="D242" s="165"/>
      <c r="E242" s="41">
        <v>2433</v>
      </c>
      <c r="F242" s="41">
        <f>2433-45</f>
        <v>2388</v>
      </c>
      <c r="G242" s="42">
        <f t="shared" si="68"/>
        <v>500000</v>
      </c>
      <c r="H242" s="23">
        <v>500000</v>
      </c>
      <c r="I242" s="35"/>
      <c r="J242" s="35">
        <v>0</v>
      </c>
      <c r="K242" s="35">
        <v>0</v>
      </c>
      <c r="L242" s="35"/>
      <c r="M242" s="35">
        <v>0</v>
      </c>
      <c r="N242" s="35"/>
      <c r="O242" s="35">
        <v>0</v>
      </c>
      <c r="P242" s="35"/>
      <c r="Q242" s="35">
        <v>0</v>
      </c>
      <c r="R242" s="35"/>
      <c r="S242" s="35">
        <v>0</v>
      </c>
      <c r="T242" s="52">
        <v>223700</v>
      </c>
      <c r="U242" s="35">
        <v>0</v>
      </c>
      <c r="V242" s="52">
        <v>276300</v>
      </c>
      <c r="W242" s="42">
        <v>0</v>
      </c>
      <c r="X242" s="165">
        <v>2014</v>
      </c>
      <c r="Y242" s="165">
        <v>2015</v>
      </c>
      <c r="Z242" s="155"/>
      <c r="AA242" s="155"/>
    </row>
    <row r="243" spans="1:27" s="118" customFormat="1" ht="18" customHeight="1" x14ac:dyDescent="0.25">
      <c r="A243" s="165">
        <f t="shared" si="69"/>
        <v>197</v>
      </c>
      <c r="B243" s="24" t="s">
        <v>30</v>
      </c>
      <c r="C243" s="142">
        <v>1979</v>
      </c>
      <c r="D243" s="165"/>
      <c r="E243" s="41">
        <v>7926.5</v>
      </c>
      <c r="F243" s="45">
        <v>6937.5</v>
      </c>
      <c r="G243" s="42">
        <f t="shared" si="68"/>
        <v>2247834</v>
      </c>
      <c r="H243" s="35">
        <v>0</v>
      </c>
      <c r="I243" s="35"/>
      <c r="J243" s="35">
        <v>0</v>
      </c>
      <c r="K243" s="35"/>
      <c r="L243" s="35"/>
      <c r="M243" s="35">
        <v>0</v>
      </c>
      <c r="N243" s="35">
        <v>0</v>
      </c>
      <c r="O243" s="52">
        <v>2247834</v>
      </c>
      <c r="P243" s="52"/>
      <c r="Q243" s="35">
        <v>0</v>
      </c>
      <c r="R243" s="35"/>
      <c r="S243" s="35">
        <v>0</v>
      </c>
      <c r="T243" s="52">
        <f>1105144.66-0.66-99463.4</f>
        <v>1005680.6</v>
      </c>
      <c r="U243" s="35">
        <v>0</v>
      </c>
      <c r="V243" s="54">
        <f>G243-T243</f>
        <v>1242153.3999999999</v>
      </c>
      <c r="W243" s="42">
        <v>0</v>
      </c>
      <c r="X243" s="165">
        <v>2014</v>
      </c>
      <c r="Y243" s="165">
        <v>2015</v>
      </c>
      <c r="Z243" s="155"/>
      <c r="AA243" s="155"/>
    </row>
    <row r="244" spans="1:27" s="118" customFormat="1" ht="18" customHeight="1" x14ac:dyDescent="0.25">
      <c r="A244" s="165">
        <f t="shared" si="69"/>
        <v>198</v>
      </c>
      <c r="B244" s="24" t="s">
        <v>31</v>
      </c>
      <c r="C244" s="142">
        <v>1977</v>
      </c>
      <c r="D244" s="165"/>
      <c r="E244" s="41">
        <v>4678.6000000000004</v>
      </c>
      <c r="F244" s="45">
        <v>4102.8999999999996</v>
      </c>
      <c r="G244" s="42">
        <f t="shared" si="68"/>
        <v>1719500</v>
      </c>
      <c r="H244" s="35">
        <v>0</v>
      </c>
      <c r="I244" s="35"/>
      <c r="J244" s="35">
        <v>0</v>
      </c>
      <c r="K244" s="35">
        <v>1719500</v>
      </c>
      <c r="L244" s="35"/>
      <c r="M244" s="35">
        <v>0</v>
      </c>
      <c r="N244" s="35"/>
      <c r="O244" s="35">
        <v>0</v>
      </c>
      <c r="P244" s="35"/>
      <c r="Q244" s="35">
        <v>0</v>
      </c>
      <c r="R244" s="35"/>
      <c r="S244" s="35">
        <v>0</v>
      </c>
      <c r="T244" s="52">
        <f>809794-40489.7</f>
        <v>769304.3</v>
      </c>
      <c r="U244" s="35">
        <v>0</v>
      </c>
      <c r="V244" s="54">
        <f>G244-T244</f>
        <v>950195.7</v>
      </c>
      <c r="W244" s="42">
        <v>0</v>
      </c>
      <c r="X244" s="165">
        <v>2014</v>
      </c>
      <c r="Y244" s="165">
        <v>2015</v>
      </c>
      <c r="Z244" s="155"/>
      <c r="AA244" s="155"/>
    </row>
    <row r="245" spans="1:27" s="118" customFormat="1" ht="18" customHeight="1" x14ac:dyDescent="0.25">
      <c r="A245" s="165">
        <f t="shared" si="69"/>
        <v>199</v>
      </c>
      <c r="B245" s="24" t="s">
        <v>76</v>
      </c>
      <c r="C245" s="142">
        <v>1981</v>
      </c>
      <c r="D245" s="165"/>
      <c r="E245" s="41">
        <v>2575.9</v>
      </c>
      <c r="F245" s="45">
        <v>2464.6999999999998</v>
      </c>
      <c r="G245" s="42">
        <f t="shared" si="68"/>
        <v>600000</v>
      </c>
      <c r="H245" s="23">
        <v>600000</v>
      </c>
      <c r="I245" s="35"/>
      <c r="J245" s="35">
        <v>0</v>
      </c>
      <c r="K245" s="35">
        <v>0</v>
      </c>
      <c r="L245" s="35"/>
      <c r="M245" s="35">
        <v>0</v>
      </c>
      <c r="N245" s="35"/>
      <c r="O245" s="35">
        <v>0</v>
      </c>
      <c r="P245" s="35"/>
      <c r="Q245" s="35">
        <v>0</v>
      </c>
      <c r="R245" s="35"/>
      <c r="S245" s="35">
        <v>0</v>
      </c>
      <c r="T245" s="52">
        <v>268440</v>
      </c>
      <c r="U245" s="35">
        <v>0</v>
      </c>
      <c r="V245" s="52">
        <v>331560</v>
      </c>
      <c r="W245" s="42">
        <v>0</v>
      </c>
      <c r="X245" s="165">
        <v>2014</v>
      </c>
      <c r="Y245" s="165">
        <v>2015</v>
      </c>
      <c r="Z245" s="155"/>
      <c r="AA245" s="155"/>
    </row>
    <row r="246" spans="1:27" s="118" customFormat="1" ht="18" customHeight="1" x14ac:dyDescent="0.25">
      <c r="A246" s="165">
        <f t="shared" si="69"/>
        <v>200</v>
      </c>
      <c r="B246" s="24" t="s">
        <v>33</v>
      </c>
      <c r="C246" s="142">
        <v>1981</v>
      </c>
      <c r="D246" s="165"/>
      <c r="E246" s="41">
        <v>2569.3000000000002</v>
      </c>
      <c r="F246" s="45">
        <v>2239</v>
      </c>
      <c r="G246" s="42">
        <f t="shared" si="68"/>
        <v>600000</v>
      </c>
      <c r="H246" s="23">
        <v>600000</v>
      </c>
      <c r="I246" s="35"/>
      <c r="J246" s="35">
        <v>0</v>
      </c>
      <c r="K246" s="35">
        <v>0</v>
      </c>
      <c r="L246" s="35"/>
      <c r="M246" s="35">
        <v>0</v>
      </c>
      <c r="N246" s="35"/>
      <c r="O246" s="35">
        <v>0</v>
      </c>
      <c r="P246" s="35"/>
      <c r="Q246" s="35">
        <v>0</v>
      </c>
      <c r="R246" s="35"/>
      <c r="S246" s="35">
        <v>0</v>
      </c>
      <c r="T246" s="52">
        <v>268440</v>
      </c>
      <c r="U246" s="35">
        <v>0</v>
      </c>
      <c r="V246" s="52">
        <v>331560</v>
      </c>
      <c r="W246" s="42">
        <v>0</v>
      </c>
      <c r="X246" s="165">
        <v>2014</v>
      </c>
      <c r="Y246" s="165">
        <v>2015</v>
      </c>
      <c r="Z246" s="155"/>
      <c r="AA246" s="155"/>
    </row>
    <row r="247" spans="1:27" s="118" customFormat="1" ht="18" customHeight="1" x14ac:dyDescent="0.25">
      <c r="A247" s="165">
        <f t="shared" si="69"/>
        <v>201</v>
      </c>
      <c r="B247" s="24" t="s">
        <v>75</v>
      </c>
      <c r="C247" s="142">
        <v>1981</v>
      </c>
      <c r="D247" s="165"/>
      <c r="E247" s="41">
        <v>3963.6</v>
      </c>
      <c r="F247" s="45">
        <v>3474.1</v>
      </c>
      <c r="G247" s="42">
        <f t="shared" si="68"/>
        <v>500000</v>
      </c>
      <c r="H247" s="23">
        <v>500000</v>
      </c>
      <c r="I247" s="35"/>
      <c r="J247" s="35">
        <v>0</v>
      </c>
      <c r="K247" s="35">
        <v>0</v>
      </c>
      <c r="L247" s="35"/>
      <c r="M247" s="35">
        <v>0</v>
      </c>
      <c r="N247" s="35"/>
      <c r="O247" s="35">
        <v>0</v>
      </c>
      <c r="P247" s="35"/>
      <c r="Q247" s="35">
        <v>0</v>
      </c>
      <c r="R247" s="35"/>
      <c r="S247" s="35">
        <v>0</v>
      </c>
      <c r="T247" s="52">
        <v>223700</v>
      </c>
      <c r="U247" s="35">
        <v>0</v>
      </c>
      <c r="V247" s="52">
        <v>276300</v>
      </c>
      <c r="W247" s="42">
        <v>0</v>
      </c>
      <c r="X247" s="165">
        <v>2014</v>
      </c>
      <c r="Y247" s="165">
        <v>2015</v>
      </c>
      <c r="Z247" s="155"/>
      <c r="AA247" s="155"/>
    </row>
    <row r="248" spans="1:27" s="118" customFormat="1" ht="18" customHeight="1" x14ac:dyDescent="0.25">
      <c r="A248" s="165">
        <f t="shared" si="69"/>
        <v>202</v>
      </c>
      <c r="B248" s="24" t="s">
        <v>77</v>
      </c>
      <c r="C248" s="142">
        <v>1990</v>
      </c>
      <c r="D248" s="165"/>
      <c r="E248" s="41">
        <v>6088.7</v>
      </c>
      <c r="F248" s="45">
        <v>5339.6</v>
      </c>
      <c r="G248" s="42">
        <f t="shared" si="68"/>
        <v>1049280</v>
      </c>
      <c r="H248" s="35">
        <v>0</v>
      </c>
      <c r="I248" s="35"/>
      <c r="J248" s="35">
        <v>0</v>
      </c>
      <c r="K248" s="35"/>
      <c r="L248" s="35"/>
      <c r="M248" s="35">
        <v>0</v>
      </c>
      <c r="N248" s="35">
        <v>0</v>
      </c>
      <c r="O248" s="52">
        <v>1049280</v>
      </c>
      <c r="P248" s="52"/>
      <c r="Q248" s="35">
        <v>0</v>
      </c>
      <c r="R248" s="35"/>
      <c r="S248" s="35">
        <v>0</v>
      </c>
      <c r="T248" s="35">
        <f>515877-46429.26</f>
        <v>469447.74</v>
      </c>
      <c r="U248" s="35">
        <v>0</v>
      </c>
      <c r="V248" s="54">
        <f>G248-T248</f>
        <v>579832.26</v>
      </c>
      <c r="W248" s="42">
        <v>0</v>
      </c>
      <c r="X248" s="165">
        <v>2014</v>
      </c>
      <c r="Y248" s="165">
        <v>2015</v>
      </c>
      <c r="Z248" s="155"/>
      <c r="AA248" s="155"/>
    </row>
    <row r="249" spans="1:27" s="118" customFormat="1" ht="18" customHeight="1" x14ac:dyDescent="0.25">
      <c r="A249" s="165">
        <f t="shared" si="69"/>
        <v>203</v>
      </c>
      <c r="B249" s="24" t="s">
        <v>178</v>
      </c>
      <c r="C249" s="142">
        <v>1972</v>
      </c>
      <c r="D249" s="47"/>
      <c r="E249" s="121">
        <v>6353.3</v>
      </c>
      <c r="F249" s="45">
        <v>5672.6</v>
      </c>
      <c r="G249" s="42">
        <f t="shared" si="68"/>
        <v>4249043.75</v>
      </c>
      <c r="H249" s="35">
        <v>0</v>
      </c>
      <c r="I249" s="35"/>
      <c r="J249" s="35">
        <v>0</v>
      </c>
      <c r="K249" s="35">
        <v>0</v>
      </c>
      <c r="L249" s="35"/>
      <c r="M249" s="35">
        <v>0</v>
      </c>
      <c r="N249" s="35"/>
      <c r="O249" s="35">
        <v>4249043.75</v>
      </c>
      <c r="P249" s="35"/>
      <c r="Q249" s="35">
        <v>0</v>
      </c>
      <c r="R249" s="35"/>
      <c r="S249" s="35">
        <v>0</v>
      </c>
      <c r="T249" s="35">
        <v>0</v>
      </c>
      <c r="U249" s="35">
        <v>0</v>
      </c>
      <c r="V249" s="35">
        <v>0</v>
      </c>
      <c r="W249" s="42">
        <f t="shared" ref="W249:W281" si="70">G249</f>
        <v>4249043.75</v>
      </c>
      <c r="X249" s="165">
        <v>2015</v>
      </c>
      <c r="Y249" s="165">
        <v>2015</v>
      </c>
      <c r="Z249" s="155"/>
      <c r="AA249" s="155"/>
    </row>
    <row r="250" spans="1:27" s="118" customFormat="1" ht="18" customHeight="1" x14ac:dyDescent="0.25">
      <c r="A250" s="165">
        <f t="shared" si="69"/>
        <v>204</v>
      </c>
      <c r="B250" s="24" t="s">
        <v>177</v>
      </c>
      <c r="C250" s="142">
        <v>1970</v>
      </c>
      <c r="D250" s="47"/>
      <c r="E250" s="121">
        <v>2588</v>
      </c>
      <c r="F250" s="45">
        <v>2311.3000000000002</v>
      </c>
      <c r="G250" s="42">
        <f t="shared" si="68"/>
        <v>3044614.5</v>
      </c>
      <c r="H250" s="35">
        <v>0</v>
      </c>
      <c r="I250" s="35"/>
      <c r="J250" s="35">
        <v>3044614.5</v>
      </c>
      <c r="K250" s="35">
        <v>0</v>
      </c>
      <c r="L250" s="35"/>
      <c r="M250" s="35">
        <v>0</v>
      </c>
      <c r="N250" s="35"/>
      <c r="O250" s="35">
        <v>0</v>
      </c>
      <c r="P250" s="35"/>
      <c r="Q250" s="35">
        <v>0</v>
      </c>
      <c r="R250" s="35"/>
      <c r="S250" s="35">
        <v>0</v>
      </c>
      <c r="T250" s="35">
        <v>0</v>
      </c>
      <c r="U250" s="35">
        <v>0</v>
      </c>
      <c r="V250" s="35">
        <v>0</v>
      </c>
      <c r="W250" s="42">
        <f t="shared" si="70"/>
        <v>3044614.5</v>
      </c>
      <c r="X250" s="165">
        <v>2015</v>
      </c>
      <c r="Y250" s="165">
        <v>2015</v>
      </c>
      <c r="Z250" s="155"/>
      <c r="AA250" s="155"/>
    </row>
    <row r="251" spans="1:27" s="118" customFormat="1" ht="18" customHeight="1" x14ac:dyDescent="0.25">
      <c r="A251" s="165">
        <f t="shared" si="69"/>
        <v>205</v>
      </c>
      <c r="B251" s="24" t="s">
        <v>179</v>
      </c>
      <c r="C251" s="142">
        <v>1957</v>
      </c>
      <c r="D251" s="47"/>
      <c r="E251" s="121">
        <v>8299.7000000000007</v>
      </c>
      <c r="F251" s="45">
        <v>7630.3</v>
      </c>
      <c r="G251" s="42">
        <f t="shared" si="68"/>
        <v>9097952.5</v>
      </c>
      <c r="H251" s="35">
        <v>0</v>
      </c>
      <c r="I251" s="35"/>
      <c r="J251" s="35">
        <v>0</v>
      </c>
      <c r="K251" s="35">
        <v>9097952.5</v>
      </c>
      <c r="L251" s="35"/>
      <c r="M251" s="35">
        <v>0</v>
      </c>
      <c r="N251" s="35"/>
      <c r="O251" s="35">
        <v>0</v>
      </c>
      <c r="P251" s="35"/>
      <c r="Q251" s="35">
        <v>0</v>
      </c>
      <c r="R251" s="35"/>
      <c r="S251" s="35">
        <v>0</v>
      </c>
      <c r="T251" s="35">
        <v>0</v>
      </c>
      <c r="U251" s="35">
        <v>0</v>
      </c>
      <c r="V251" s="35">
        <v>0</v>
      </c>
      <c r="W251" s="42">
        <f t="shared" si="70"/>
        <v>9097952.5</v>
      </c>
      <c r="X251" s="165">
        <v>2015</v>
      </c>
      <c r="Y251" s="165">
        <v>2015</v>
      </c>
      <c r="Z251" s="155"/>
      <c r="AA251" s="155"/>
    </row>
    <row r="252" spans="1:27" s="118" customFormat="1" ht="18" customHeight="1" x14ac:dyDescent="0.25">
      <c r="A252" s="165">
        <f t="shared" si="69"/>
        <v>206</v>
      </c>
      <c r="B252" s="24" t="s">
        <v>181</v>
      </c>
      <c r="C252" s="142">
        <v>1976</v>
      </c>
      <c r="D252" s="47"/>
      <c r="E252" s="121">
        <v>2389.6</v>
      </c>
      <c r="F252" s="45">
        <v>2097.4</v>
      </c>
      <c r="G252" s="42">
        <f t="shared" si="68"/>
        <v>2600000</v>
      </c>
      <c r="H252" s="35">
        <v>0</v>
      </c>
      <c r="I252" s="35"/>
      <c r="J252" s="35">
        <v>0</v>
      </c>
      <c r="K252" s="35">
        <v>2600000</v>
      </c>
      <c r="L252" s="35"/>
      <c r="M252" s="35">
        <v>0</v>
      </c>
      <c r="N252" s="35"/>
      <c r="O252" s="35">
        <v>0</v>
      </c>
      <c r="P252" s="35"/>
      <c r="Q252" s="35">
        <v>0</v>
      </c>
      <c r="R252" s="35"/>
      <c r="S252" s="35">
        <v>0</v>
      </c>
      <c r="T252" s="35">
        <v>0</v>
      </c>
      <c r="U252" s="35">
        <v>0</v>
      </c>
      <c r="V252" s="35">
        <v>0</v>
      </c>
      <c r="W252" s="42">
        <f t="shared" si="70"/>
        <v>2600000</v>
      </c>
      <c r="X252" s="165">
        <v>2015</v>
      </c>
      <c r="Y252" s="165">
        <v>2015</v>
      </c>
      <c r="Z252" s="155"/>
      <c r="AA252" s="155"/>
    </row>
    <row r="253" spans="1:27" s="118" customFormat="1" ht="18" customHeight="1" x14ac:dyDescent="0.25">
      <c r="A253" s="165">
        <f t="shared" si="69"/>
        <v>207</v>
      </c>
      <c r="B253" s="24" t="s">
        <v>183</v>
      </c>
      <c r="C253" s="142">
        <v>1975</v>
      </c>
      <c r="D253" s="47"/>
      <c r="E253" s="121">
        <v>3980.7</v>
      </c>
      <c r="F253" s="45">
        <v>3495.2</v>
      </c>
      <c r="G253" s="42">
        <f t="shared" si="68"/>
        <v>4400000</v>
      </c>
      <c r="H253" s="35">
        <v>0</v>
      </c>
      <c r="I253" s="35"/>
      <c r="J253" s="35">
        <v>0</v>
      </c>
      <c r="K253" s="35">
        <v>4400000</v>
      </c>
      <c r="L253" s="35"/>
      <c r="M253" s="35">
        <v>0</v>
      </c>
      <c r="N253" s="35"/>
      <c r="O253" s="35">
        <v>0</v>
      </c>
      <c r="P253" s="35"/>
      <c r="Q253" s="35">
        <v>0</v>
      </c>
      <c r="R253" s="35"/>
      <c r="S253" s="35">
        <v>0</v>
      </c>
      <c r="T253" s="35">
        <v>0</v>
      </c>
      <c r="U253" s="35">
        <v>0</v>
      </c>
      <c r="V253" s="35">
        <v>0</v>
      </c>
      <c r="W253" s="42">
        <f t="shared" si="70"/>
        <v>4400000</v>
      </c>
      <c r="X253" s="165">
        <v>2015</v>
      </c>
      <c r="Y253" s="165">
        <v>2015</v>
      </c>
      <c r="Z253" s="155"/>
      <c r="AA253" s="155"/>
    </row>
    <row r="254" spans="1:27" s="118" customFormat="1" ht="18" customHeight="1" x14ac:dyDescent="0.25">
      <c r="A254" s="165">
        <f t="shared" si="69"/>
        <v>208</v>
      </c>
      <c r="B254" s="59" t="s">
        <v>432</v>
      </c>
      <c r="C254" s="146">
        <v>1987</v>
      </c>
      <c r="D254" s="56"/>
      <c r="E254" s="45">
        <v>6124.1</v>
      </c>
      <c r="F254" s="45">
        <v>5464.1</v>
      </c>
      <c r="G254" s="42">
        <f t="shared" ref="G254:G281" si="71">H254+J254+K254+M254+O254+Q254+S254</f>
        <v>4819882.6100000003</v>
      </c>
      <c r="H254" s="35">
        <v>0</v>
      </c>
      <c r="I254" s="35">
        <f t="shared" ref="I254:I264" si="72">H254/F254</f>
        <v>0</v>
      </c>
      <c r="J254" s="35">
        <v>0</v>
      </c>
      <c r="K254" s="35">
        <v>0</v>
      </c>
      <c r="L254" s="35">
        <f t="shared" ref="L254:L264" si="73">K254/F254</f>
        <v>0</v>
      </c>
      <c r="M254" s="35">
        <v>0</v>
      </c>
      <c r="N254" s="35"/>
      <c r="O254" s="57">
        <v>4819882.6100000003</v>
      </c>
      <c r="P254" s="35">
        <f t="shared" ref="P254:P273" si="74">O254/F254</f>
        <v>882.1</v>
      </c>
      <c r="Q254" s="35">
        <v>0</v>
      </c>
      <c r="R254" s="35"/>
      <c r="S254" s="35">
        <v>0</v>
      </c>
      <c r="T254" s="35">
        <v>0</v>
      </c>
      <c r="U254" s="35">
        <v>0</v>
      </c>
      <c r="V254" s="35">
        <v>0</v>
      </c>
      <c r="W254" s="58">
        <f t="shared" si="70"/>
        <v>4819882.6100000003</v>
      </c>
      <c r="X254" s="165">
        <v>2016</v>
      </c>
      <c r="Y254" s="165">
        <v>2016</v>
      </c>
      <c r="Z254" s="155">
        <f>Z227+1</f>
        <v>96</v>
      </c>
      <c r="AA254" s="155">
        <v>1</v>
      </c>
    </row>
    <row r="255" spans="1:27" s="118" customFormat="1" ht="18" customHeight="1" x14ac:dyDescent="0.25">
      <c r="A255" s="165">
        <f t="shared" si="69"/>
        <v>209</v>
      </c>
      <c r="B255" s="59" t="s">
        <v>185</v>
      </c>
      <c r="C255" s="146">
        <v>1973</v>
      </c>
      <c r="D255" s="56"/>
      <c r="E255" s="45">
        <v>4176.3999999999996</v>
      </c>
      <c r="F255" s="45">
        <v>3671.9</v>
      </c>
      <c r="G255" s="42">
        <f t="shared" si="71"/>
        <v>1800000</v>
      </c>
      <c r="H255" s="35">
        <v>0</v>
      </c>
      <c r="I255" s="35">
        <f t="shared" si="72"/>
        <v>0</v>
      </c>
      <c r="J255" s="35">
        <v>0</v>
      </c>
      <c r="K255" s="57">
        <v>1800000</v>
      </c>
      <c r="L255" s="35">
        <f t="shared" si="73"/>
        <v>490.20942836133878</v>
      </c>
      <c r="M255" s="35">
        <v>0</v>
      </c>
      <c r="N255" s="35"/>
      <c r="O255" s="35">
        <v>0</v>
      </c>
      <c r="P255" s="35">
        <f t="shared" si="74"/>
        <v>0</v>
      </c>
      <c r="Q255" s="35">
        <v>0</v>
      </c>
      <c r="R255" s="35"/>
      <c r="S255" s="35">
        <v>0</v>
      </c>
      <c r="T255" s="35">
        <v>0</v>
      </c>
      <c r="U255" s="35">
        <v>0</v>
      </c>
      <c r="V255" s="35">
        <v>0</v>
      </c>
      <c r="W255" s="58">
        <f t="shared" si="70"/>
        <v>1800000</v>
      </c>
      <c r="X255" s="165">
        <v>2016</v>
      </c>
      <c r="Y255" s="165">
        <v>2016</v>
      </c>
      <c r="Z255" s="155">
        <f>Z254+1</f>
        <v>97</v>
      </c>
      <c r="AA255" s="155">
        <f>AA254+1</f>
        <v>2</v>
      </c>
    </row>
    <row r="256" spans="1:27" s="118" customFormat="1" ht="18" customHeight="1" x14ac:dyDescent="0.25">
      <c r="A256" s="165">
        <f t="shared" si="69"/>
        <v>210</v>
      </c>
      <c r="B256" s="59" t="s">
        <v>186</v>
      </c>
      <c r="C256" s="146">
        <v>1973</v>
      </c>
      <c r="D256" s="56"/>
      <c r="E256" s="45">
        <v>1745.7</v>
      </c>
      <c r="F256" s="45">
        <v>1586</v>
      </c>
      <c r="G256" s="42">
        <f t="shared" si="71"/>
        <v>1317420</v>
      </c>
      <c r="H256" s="35">
        <v>0</v>
      </c>
      <c r="I256" s="35">
        <f t="shared" si="72"/>
        <v>0</v>
      </c>
      <c r="J256" s="35">
        <v>0</v>
      </c>
      <c r="K256" s="35">
        <v>0</v>
      </c>
      <c r="L256" s="35">
        <f t="shared" si="73"/>
        <v>0</v>
      </c>
      <c r="M256" s="35">
        <v>0</v>
      </c>
      <c r="N256" s="35"/>
      <c r="O256" s="57">
        <v>1317420</v>
      </c>
      <c r="P256" s="35">
        <f t="shared" si="74"/>
        <v>830.65573770491801</v>
      </c>
      <c r="Q256" s="35">
        <v>0</v>
      </c>
      <c r="R256" s="35"/>
      <c r="S256" s="35">
        <v>0</v>
      </c>
      <c r="T256" s="35">
        <v>0</v>
      </c>
      <c r="U256" s="35">
        <v>0</v>
      </c>
      <c r="V256" s="35">
        <v>0</v>
      </c>
      <c r="W256" s="58">
        <f t="shared" si="70"/>
        <v>1317420</v>
      </c>
      <c r="X256" s="165">
        <v>2016</v>
      </c>
      <c r="Y256" s="165">
        <v>2016</v>
      </c>
      <c r="Z256" s="155">
        <f t="shared" ref="Z256:Z281" si="75">Z255+1</f>
        <v>98</v>
      </c>
      <c r="AA256" s="155">
        <f t="shared" ref="AA256:AA281" si="76">AA255+1</f>
        <v>3</v>
      </c>
    </row>
    <row r="257" spans="1:27" s="118" customFormat="1" ht="18" customHeight="1" x14ac:dyDescent="0.25">
      <c r="A257" s="165">
        <f t="shared" si="69"/>
        <v>211</v>
      </c>
      <c r="B257" s="59" t="s">
        <v>415</v>
      </c>
      <c r="C257" s="146">
        <v>1965</v>
      </c>
      <c r="D257" s="56"/>
      <c r="E257" s="45">
        <v>4097.3</v>
      </c>
      <c r="F257" s="45">
        <v>3808.1</v>
      </c>
      <c r="G257" s="42">
        <f t="shared" si="71"/>
        <v>998199</v>
      </c>
      <c r="H257" s="57">
        <v>998199</v>
      </c>
      <c r="I257" s="35">
        <f t="shared" si="72"/>
        <v>262.12520679604</v>
      </c>
      <c r="J257" s="35">
        <v>0</v>
      </c>
      <c r="K257" s="35">
        <v>0</v>
      </c>
      <c r="L257" s="35">
        <f t="shared" si="73"/>
        <v>0</v>
      </c>
      <c r="M257" s="35">
        <v>0</v>
      </c>
      <c r="N257" s="35"/>
      <c r="O257" s="35">
        <v>0</v>
      </c>
      <c r="P257" s="35">
        <f t="shared" si="74"/>
        <v>0</v>
      </c>
      <c r="Q257" s="35">
        <v>0</v>
      </c>
      <c r="R257" s="35"/>
      <c r="S257" s="35">
        <v>0</v>
      </c>
      <c r="T257" s="35">
        <v>0</v>
      </c>
      <c r="U257" s="35">
        <v>0</v>
      </c>
      <c r="V257" s="35">
        <v>0</v>
      </c>
      <c r="W257" s="58">
        <f t="shared" si="70"/>
        <v>998199</v>
      </c>
      <c r="X257" s="165">
        <v>2016</v>
      </c>
      <c r="Y257" s="165">
        <v>2016</v>
      </c>
      <c r="Z257" s="155">
        <f t="shared" si="75"/>
        <v>99</v>
      </c>
      <c r="AA257" s="155">
        <f t="shared" si="76"/>
        <v>4</v>
      </c>
    </row>
    <row r="258" spans="1:27" s="118" customFormat="1" ht="18" customHeight="1" x14ac:dyDescent="0.25">
      <c r="A258" s="165">
        <f t="shared" si="69"/>
        <v>212</v>
      </c>
      <c r="B258" s="59" t="s">
        <v>416</v>
      </c>
      <c r="C258" s="146">
        <v>1974</v>
      </c>
      <c r="D258" s="56"/>
      <c r="E258" s="45">
        <v>3321</v>
      </c>
      <c r="F258" s="45">
        <v>3000.7</v>
      </c>
      <c r="G258" s="42">
        <f t="shared" si="71"/>
        <v>998199</v>
      </c>
      <c r="H258" s="57">
        <v>998199</v>
      </c>
      <c r="I258" s="35">
        <f t="shared" si="72"/>
        <v>332.65538041123739</v>
      </c>
      <c r="J258" s="35">
        <v>0</v>
      </c>
      <c r="K258" s="35">
        <v>0</v>
      </c>
      <c r="L258" s="35">
        <f t="shared" si="73"/>
        <v>0</v>
      </c>
      <c r="M258" s="35">
        <v>0</v>
      </c>
      <c r="N258" s="35"/>
      <c r="O258" s="35">
        <v>0</v>
      </c>
      <c r="P258" s="35">
        <f t="shared" si="74"/>
        <v>0</v>
      </c>
      <c r="Q258" s="35">
        <v>0</v>
      </c>
      <c r="R258" s="35"/>
      <c r="S258" s="35">
        <v>0</v>
      </c>
      <c r="T258" s="35">
        <v>0</v>
      </c>
      <c r="U258" s="35">
        <v>0</v>
      </c>
      <c r="V258" s="35">
        <v>0</v>
      </c>
      <c r="W258" s="58">
        <f t="shared" si="70"/>
        <v>998199</v>
      </c>
      <c r="X258" s="165">
        <v>2016</v>
      </c>
      <c r="Y258" s="165">
        <v>2016</v>
      </c>
      <c r="Z258" s="155">
        <f t="shared" si="75"/>
        <v>100</v>
      </c>
      <c r="AA258" s="155">
        <f t="shared" si="76"/>
        <v>5</v>
      </c>
    </row>
    <row r="259" spans="1:27" s="118" customFormat="1" ht="18" customHeight="1" x14ac:dyDescent="0.25">
      <c r="A259" s="165">
        <f t="shared" si="69"/>
        <v>213</v>
      </c>
      <c r="B259" s="59" t="s">
        <v>417</v>
      </c>
      <c r="C259" s="146">
        <v>1988</v>
      </c>
      <c r="D259" s="56"/>
      <c r="E259" s="45">
        <v>4839.6000000000004</v>
      </c>
      <c r="F259" s="45">
        <v>4964</v>
      </c>
      <c r="G259" s="42">
        <f t="shared" si="71"/>
        <v>698232.6</v>
      </c>
      <c r="H259" s="57">
        <v>698232.6</v>
      </c>
      <c r="I259" s="35">
        <f t="shared" si="72"/>
        <v>140.65926672038677</v>
      </c>
      <c r="J259" s="35">
        <v>0</v>
      </c>
      <c r="K259" s="35">
        <v>0</v>
      </c>
      <c r="L259" s="35">
        <f t="shared" si="73"/>
        <v>0</v>
      </c>
      <c r="M259" s="35">
        <v>0</v>
      </c>
      <c r="N259" s="35"/>
      <c r="O259" s="35">
        <v>0</v>
      </c>
      <c r="P259" s="35">
        <f t="shared" si="74"/>
        <v>0</v>
      </c>
      <c r="Q259" s="35">
        <v>0</v>
      </c>
      <c r="R259" s="35"/>
      <c r="S259" s="35">
        <v>0</v>
      </c>
      <c r="T259" s="35">
        <v>0</v>
      </c>
      <c r="U259" s="35">
        <v>0</v>
      </c>
      <c r="V259" s="35">
        <v>0</v>
      </c>
      <c r="W259" s="58">
        <f t="shared" si="70"/>
        <v>698232.6</v>
      </c>
      <c r="X259" s="165">
        <v>2016</v>
      </c>
      <c r="Y259" s="165">
        <v>2016</v>
      </c>
      <c r="Z259" s="155">
        <f t="shared" si="75"/>
        <v>101</v>
      </c>
      <c r="AA259" s="155">
        <f t="shared" si="76"/>
        <v>6</v>
      </c>
    </row>
    <row r="260" spans="1:27" s="118" customFormat="1" ht="18" customHeight="1" x14ac:dyDescent="0.25">
      <c r="A260" s="165">
        <f t="shared" si="69"/>
        <v>214</v>
      </c>
      <c r="B260" s="59" t="s">
        <v>418</v>
      </c>
      <c r="C260" s="146">
        <v>1958</v>
      </c>
      <c r="D260" s="56"/>
      <c r="E260" s="45">
        <v>3188.2</v>
      </c>
      <c r="F260" s="45">
        <v>2883.3</v>
      </c>
      <c r="G260" s="42">
        <f t="shared" si="71"/>
        <v>798559.2</v>
      </c>
      <c r="H260" s="57">
        <v>798559.2</v>
      </c>
      <c r="I260" s="35">
        <f t="shared" si="72"/>
        <v>276.96014982832168</v>
      </c>
      <c r="J260" s="35">
        <v>0</v>
      </c>
      <c r="K260" s="35">
        <v>0</v>
      </c>
      <c r="L260" s="35">
        <f t="shared" si="73"/>
        <v>0</v>
      </c>
      <c r="M260" s="35">
        <v>0</v>
      </c>
      <c r="N260" s="35"/>
      <c r="O260" s="35">
        <v>0</v>
      </c>
      <c r="P260" s="35">
        <f t="shared" si="74"/>
        <v>0</v>
      </c>
      <c r="Q260" s="35">
        <v>0</v>
      </c>
      <c r="R260" s="35"/>
      <c r="S260" s="35">
        <v>0</v>
      </c>
      <c r="T260" s="35">
        <v>0</v>
      </c>
      <c r="U260" s="35">
        <v>0</v>
      </c>
      <c r="V260" s="35">
        <v>0</v>
      </c>
      <c r="W260" s="58">
        <f t="shared" si="70"/>
        <v>798559.2</v>
      </c>
      <c r="X260" s="165">
        <v>2016</v>
      </c>
      <c r="Y260" s="165">
        <v>2016</v>
      </c>
      <c r="Z260" s="155">
        <f t="shared" si="75"/>
        <v>102</v>
      </c>
      <c r="AA260" s="155">
        <f t="shared" si="76"/>
        <v>7</v>
      </c>
    </row>
    <row r="261" spans="1:27" s="118" customFormat="1" ht="18" customHeight="1" x14ac:dyDescent="0.25">
      <c r="A261" s="165">
        <f t="shared" si="69"/>
        <v>215</v>
      </c>
      <c r="B261" s="59" t="s">
        <v>419</v>
      </c>
      <c r="C261" s="146">
        <v>1968</v>
      </c>
      <c r="D261" s="56"/>
      <c r="E261" s="45">
        <v>4090.3</v>
      </c>
      <c r="F261" s="45">
        <v>3838.3</v>
      </c>
      <c r="G261" s="42">
        <f t="shared" si="71"/>
        <v>798559.2</v>
      </c>
      <c r="H261" s="57">
        <v>798559.2</v>
      </c>
      <c r="I261" s="35">
        <f t="shared" si="72"/>
        <v>208.05023057082559</v>
      </c>
      <c r="J261" s="35">
        <v>0</v>
      </c>
      <c r="K261" s="35">
        <v>0</v>
      </c>
      <c r="L261" s="35">
        <f t="shared" si="73"/>
        <v>0</v>
      </c>
      <c r="M261" s="35">
        <v>0</v>
      </c>
      <c r="N261" s="35"/>
      <c r="O261" s="35">
        <v>0</v>
      </c>
      <c r="P261" s="35">
        <f t="shared" si="74"/>
        <v>0</v>
      </c>
      <c r="Q261" s="35">
        <v>0</v>
      </c>
      <c r="R261" s="35"/>
      <c r="S261" s="35">
        <v>0</v>
      </c>
      <c r="T261" s="35">
        <v>0</v>
      </c>
      <c r="U261" s="35">
        <v>0</v>
      </c>
      <c r="V261" s="35">
        <v>0</v>
      </c>
      <c r="W261" s="58">
        <f t="shared" si="70"/>
        <v>798559.2</v>
      </c>
      <c r="X261" s="165">
        <v>2016</v>
      </c>
      <c r="Y261" s="165">
        <v>2016</v>
      </c>
      <c r="Z261" s="155">
        <f t="shared" si="75"/>
        <v>103</v>
      </c>
      <c r="AA261" s="155">
        <f t="shared" si="76"/>
        <v>8</v>
      </c>
    </row>
    <row r="262" spans="1:27" s="118" customFormat="1" ht="18" customHeight="1" x14ac:dyDescent="0.25">
      <c r="A262" s="165">
        <f>A261+1</f>
        <v>216</v>
      </c>
      <c r="B262" s="59" t="s">
        <v>422</v>
      </c>
      <c r="C262" s="146">
        <v>1996</v>
      </c>
      <c r="D262" s="56"/>
      <c r="E262" s="45">
        <v>6382.3</v>
      </c>
      <c r="F262" s="45">
        <v>5653</v>
      </c>
      <c r="G262" s="42">
        <f t="shared" si="71"/>
        <v>698232.6</v>
      </c>
      <c r="H262" s="57">
        <v>698232.6</v>
      </c>
      <c r="I262" s="35">
        <f t="shared" si="72"/>
        <v>123.51540774809835</v>
      </c>
      <c r="J262" s="35">
        <v>0</v>
      </c>
      <c r="K262" s="35">
        <v>0</v>
      </c>
      <c r="L262" s="35">
        <f t="shared" si="73"/>
        <v>0</v>
      </c>
      <c r="M262" s="35">
        <v>0</v>
      </c>
      <c r="N262" s="35"/>
      <c r="O262" s="35">
        <v>0</v>
      </c>
      <c r="P262" s="35">
        <f t="shared" si="74"/>
        <v>0</v>
      </c>
      <c r="Q262" s="35">
        <v>0</v>
      </c>
      <c r="R262" s="35"/>
      <c r="S262" s="35">
        <v>0</v>
      </c>
      <c r="T262" s="35">
        <v>0</v>
      </c>
      <c r="U262" s="35">
        <v>0</v>
      </c>
      <c r="V262" s="35">
        <v>0</v>
      </c>
      <c r="W262" s="58">
        <f t="shared" si="70"/>
        <v>698232.6</v>
      </c>
      <c r="X262" s="165">
        <v>2016</v>
      </c>
      <c r="Y262" s="165">
        <v>2016</v>
      </c>
      <c r="Z262" s="155">
        <f t="shared" si="75"/>
        <v>104</v>
      </c>
      <c r="AA262" s="155">
        <f t="shared" si="76"/>
        <v>9</v>
      </c>
    </row>
    <row r="263" spans="1:27" s="118" customFormat="1" ht="18" customHeight="1" x14ac:dyDescent="0.25">
      <c r="A263" s="165">
        <f t="shared" si="69"/>
        <v>217</v>
      </c>
      <c r="B263" s="59" t="s">
        <v>420</v>
      </c>
      <c r="C263" s="146">
        <v>1969</v>
      </c>
      <c r="D263" s="56"/>
      <c r="E263" s="45">
        <v>4451.8999999999996</v>
      </c>
      <c r="F263" s="45">
        <v>4160.2</v>
      </c>
      <c r="G263" s="42">
        <f t="shared" si="71"/>
        <v>798559.2</v>
      </c>
      <c r="H263" s="57">
        <v>798559.2</v>
      </c>
      <c r="I263" s="35">
        <f t="shared" si="72"/>
        <v>191.95211768664967</v>
      </c>
      <c r="J263" s="35">
        <v>0</v>
      </c>
      <c r="K263" s="35">
        <v>0</v>
      </c>
      <c r="L263" s="35">
        <f t="shared" si="73"/>
        <v>0</v>
      </c>
      <c r="M263" s="35">
        <v>0</v>
      </c>
      <c r="N263" s="35"/>
      <c r="O263" s="35">
        <v>0</v>
      </c>
      <c r="P263" s="35">
        <f t="shared" si="74"/>
        <v>0</v>
      </c>
      <c r="Q263" s="35">
        <v>0</v>
      </c>
      <c r="R263" s="35"/>
      <c r="S263" s="35">
        <v>0</v>
      </c>
      <c r="T263" s="35">
        <v>0</v>
      </c>
      <c r="U263" s="35">
        <v>0</v>
      </c>
      <c r="V263" s="35">
        <v>0</v>
      </c>
      <c r="W263" s="58">
        <f t="shared" si="70"/>
        <v>798559.2</v>
      </c>
      <c r="X263" s="165">
        <v>2016</v>
      </c>
      <c r="Y263" s="165">
        <v>2016</v>
      </c>
      <c r="Z263" s="155">
        <f t="shared" si="75"/>
        <v>105</v>
      </c>
      <c r="AA263" s="155">
        <f t="shared" si="76"/>
        <v>10</v>
      </c>
    </row>
    <row r="264" spans="1:27" s="118" customFormat="1" ht="18" customHeight="1" x14ac:dyDescent="0.25">
      <c r="A264" s="165">
        <f t="shared" si="69"/>
        <v>218</v>
      </c>
      <c r="B264" s="59" t="s">
        <v>421</v>
      </c>
      <c r="C264" s="146">
        <v>1961</v>
      </c>
      <c r="D264" s="56"/>
      <c r="E264" s="45">
        <v>3301.3</v>
      </c>
      <c r="F264" s="45">
        <v>3107.7</v>
      </c>
      <c r="G264" s="42">
        <f t="shared" si="71"/>
        <v>666817.19999999995</v>
      </c>
      <c r="H264" s="57">
        <v>666817.19999999995</v>
      </c>
      <c r="I264" s="35">
        <f t="shared" si="72"/>
        <v>214.56935997683175</v>
      </c>
      <c r="J264" s="35">
        <v>0</v>
      </c>
      <c r="K264" s="35">
        <v>0</v>
      </c>
      <c r="L264" s="35">
        <f t="shared" si="73"/>
        <v>0</v>
      </c>
      <c r="M264" s="35">
        <v>0</v>
      </c>
      <c r="N264" s="35"/>
      <c r="O264" s="35">
        <v>0</v>
      </c>
      <c r="P264" s="35">
        <f t="shared" si="74"/>
        <v>0</v>
      </c>
      <c r="Q264" s="35">
        <v>0</v>
      </c>
      <c r="R264" s="35"/>
      <c r="S264" s="35">
        <v>0</v>
      </c>
      <c r="T264" s="35">
        <v>0</v>
      </c>
      <c r="U264" s="35">
        <v>0</v>
      </c>
      <c r="V264" s="35">
        <v>0</v>
      </c>
      <c r="W264" s="58">
        <f t="shared" si="70"/>
        <v>666817.19999999995</v>
      </c>
      <c r="X264" s="165">
        <v>2016</v>
      </c>
      <c r="Y264" s="165">
        <v>2016</v>
      </c>
      <c r="Z264" s="155">
        <f t="shared" si="75"/>
        <v>106</v>
      </c>
      <c r="AA264" s="155">
        <f t="shared" si="76"/>
        <v>11</v>
      </c>
    </row>
    <row r="265" spans="1:27" s="118" customFormat="1" ht="18" customHeight="1" x14ac:dyDescent="0.25">
      <c r="A265" s="165">
        <f t="shared" si="69"/>
        <v>219</v>
      </c>
      <c r="B265" s="59" t="s">
        <v>429</v>
      </c>
      <c r="C265" s="146">
        <v>1985</v>
      </c>
      <c r="D265" s="56"/>
      <c r="E265" s="45">
        <v>10672.7</v>
      </c>
      <c r="F265" s="45">
        <v>9258</v>
      </c>
      <c r="G265" s="42">
        <f t="shared" si="71"/>
        <v>2934705.06</v>
      </c>
      <c r="H265" s="35">
        <v>0</v>
      </c>
      <c r="I265" s="35"/>
      <c r="J265" s="57">
        <v>2934705.06</v>
      </c>
      <c r="K265" s="35">
        <v>0</v>
      </c>
      <c r="L265" s="35"/>
      <c r="M265" s="35">
        <v>0</v>
      </c>
      <c r="N265" s="35"/>
      <c r="O265" s="35">
        <v>0</v>
      </c>
      <c r="P265" s="35">
        <f t="shared" si="74"/>
        <v>0</v>
      </c>
      <c r="Q265" s="35">
        <v>0</v>
      </c>
      <c r="R265" s="35"/>
      <c r="S265" s="35">
        <v>0</v>
      </c>
      <c r="T265" s="35">
        <v>0</v>
      </c>
      <c r="U265" s="35">
        <v>0</v>
      </c>
      <c r="V265" s="35">
        <v>0</v>
      </c>
      <c r="W265" s="58">
        <f t="shared" si="70"/>
        <v>2934705.06</v>
      </c>
      <c r="X265" s="165">
        <v>2016</v>
      </c>
      <c r="Y265" s="165">
        <v>2016</v>
      </c>
      <c r="Z265" s="155">
        <f t="shared" si="75"/>
        <v>107</v>
      </c>
      <c r="AA265" s="155">
        <f t="shared" si="76"/>
        <v>12</v>
      </c>
    </row>
    <row r="266" spans="1:27" s="118" customFormat="1" ht="18" customHeight="1" x14ac:dyDescent="0.25">
      <c r="A266" s="165">
        <f t="shared" si="69"/>
        <v>220</v>
      </c>
      <c r="B266" s="59" t="s">
        <v>423</v>
      </c>
      <c r="C266" s="146">
        <v>1985</v>
      </c>
      <c r="D266" s="56"/>
      <c r="E266" s="45">
        <v>3942.8</v>
      </c>
      <c r="F266" s="45">
        <v>3459.7</v>
      </c>
      <c r="G266" s="42">
        <f t="shared" si="71"/>
        <v>709380</v>
      </c>
      <c r="H266" s="57">
        <v>709380</v>
      </c>
      <c r="I266" s="35">
        <f t="shared" ref="I266:I271" si="77">H266/F266</f>
        <v>205.04089949995665</v>
      </c>
      <c r="J266" s="35">
        <v>0</v>
      </c>
      <c r="K266" s="35">
        <v>0</v>
      </c>
      <c r="L266" s="35">
        <f t="shared" ref="L266:L272" si="78">K266/F266</f>
        <v>0</v>
      </c>
      <c r="M266" s="35">
        <v>0</v>
      </c>
      <c r="N266" s="35"/>
      <c r="O266" s="35">
        <v>0</v>
      </c>
      <c r="P266" s="35">
        <f t="shared" si="74"/>
        <v>0</v>
      </c>
      <c r="Q266" s="35">
        <v>0</v>
      </c>
      <c r="R266" s="35"/>
      <c r="S266" s="35">
        <v>0</v>
      </c>
      <c r="T266" s="35">
        <v>0</v>
      </c>
      <c r="U266" s="35">
        <v>0</v>
      </c>
      <c r="V266" s="35">
        <v>0</v>
      </c>
      <c r="W266" s="58">
        <f t="shared" si="70"/>
        <v>709380</v>
      </c>
      <c r="X266" s="165">
        <v>2016</v>
      </c>
      <c r="Y266" s="165">
        <v>2016</v>
      </c>
      <c r="Z266" s="155">
        <f t="shared" si="75"/>
        <v>108</v>
      </c>
      <c r="AA266" s="155">
        <f t="shared" si="76"/>
        <v>13</v>
      </c>
    </row>
    <row r="267" spans="1:27" s="118" customFormat="1" ht="18" customHeight="1" x14ac:dyDescent="0.25">
      <c r="A267" s="165">
        <f t="shared" si="69"/>
        <v>221</v>
      </c>
      <c r="B267" s="59" t="s">
        <v>425</v>
      </c>
      <c r="C267" s="146">
        <v>1977</v>
      </c>
      <c r="D267" s="56"/>
      <c r="E267" s="45">
        <v>4299.5</v>
      </c>
      <c r="F267" s="45">
        <v>3739.8</v>
      </c>
      <c r="G267" s="42">
        <f t="shared" si="71"/>
        <v>1097512.2</v>
      </c>
      <c r="H267" s="57">
        <v>1097512.2</v>
      </c>
      <c r="I267" s="35">
        <f t="shared" si="77"/>
        <v>293.4681533771859</v>
      </c>
      <c r="J267" s="35">
        <v>0</v>
      </c>
      <c r="K267" s="35">
        <v>0</v>
      </c>
      <c r="L267" s="35">
        <f t="shared" si="78"/>
        <v>0</v>
      </c>
      <c r="M267" s="35">
        <v>0</v>
      </c>
      <c r="N267" s="35"/>
      <c r="O267" s="35">
        <v>0</v>
      </c>
      <c r="P267" s="35">
        <f t="shared" si="74"/>
        <v>0</v>
      </c>
      <c r="Q267" s="35">
        <v>0</v>
      </c>
      <c r="R267" s="35"/>
      <c r="S267" s="35">
        <v>0</v>
      </c>
      <c r="T267" s="35">
        <v>0</v>
      </c>
      <c r="U267" s="35">
        <v>0</v>
      </c>
      <c r="V267" s="35">
        <v>0</v>
      </c>
      <c r="W267" s="58">
        <f t="shared" si="70"/>
        <v>1097512.2</v>
      </c>
      <c r="X267" s="165">
        <v>2016</v>
      </c>
      <c r="Y267" s="165">
        <v>2016</v>
      </c>
      <c r="Z267" s="155">
        <f t="shared" si="75"/>
        <v>109</v>
      </c>
      <c r="AA267" s="155">
        <f t="shared" si="76"/>
        <v>14</v>
      </c>
    </row>
    <row r="268" spans="1:27" s="118" customFormat="1" ht="18" customHeight="1" x14ac:dyDescent="0.25">
      <c r="A268" s="165">
        <f t="shared" si="69"/>
        <v>222</v>
      </c>
      <c r="B268" s="59" t="s">
        <v>426</v>
      </c>
      <c r="C268" s="146">
        <v>1990</v>
      </c>
      <c r="D268" s="56"/>
      <c r="E268" s="45">
        <v>4008.6</v>
      </c>
      <c r="F268" s="45">
        <v>3502.8</v>
      </c>
      <c r="G268" s="42">
        <f t="shared" si="71"/>
        <v>590812.19999999995</v>
      </c>
      <c r="H268" s="57">
        <v>590812.19999999995</v>
      </c>
      <c r="I268" s="35">
        <f t="shared" si="77"/>
        <v>168.66855087358681</v>
      </c>
      <c r="J268" s="35">
        <v>0</v>
      </c>
      <c r="K268" s="35">
        <v>0</v>
      </c>
      <c r="L268" s="35">
        <f t="shared" si="78"/>
        <v>0</v>
      </c>
      <c r="M268" s="35">
        <v>0</v>
      </c>
      <c r="N268" s="35"/>
      <c r="O268" s="35">
        <v>0</v>
      </c>
      <c r="P268" s="35">
        <f t="shared" si="74"/>
        <v>0</v>
      </c>
      <c r="Q268" s="35">
        <v>0</v>
      </c>
      <c r="R268" s="35"/>
      <c r="S268" s="35">
        <v>0</v>
      </c>
      <c r="T268" s="35">
        <v>0</v>
      </c>
      <c r="U268" s="35">
        <v>0</v>
      </c>
      <c r="V268" s="35">
        <v>0</v>
      </c>
      <c r="W268" s="58">
        <f t="shared" si="70"/>
        <v>590812.19999999995</v>
      </c>
      <c r="X268" s="165">
        <v>2016</v>
      </c>
      <c r="Y268" s="165">
        <v>2016</v>
      </c>
      <c r="Z268" s="155">
        <f t="shared" si="75"/>
        <v>110</v>
      </c>
      <c r="AA268" s="155">
        <f t="shared" si="76"/>
        <v>15</v>
      </c>
    </row>
    <row r="269" spans="1:27" s="118" customFormat="1" ht="18" customHeight="1" x14ac:dyDescent="0.25">
      <c r="A269" s="165">
        <f t="shared" si="69"/>
        <v>223</v>
      </c>
      <c r="B269" s="59" t="s">
        <v>427</v>
      </c>
      <c r="C269" s="146">
        <v>1988</v>
      </c>
      <c r="D269" s="56"/>
      <c r="E269" s="45">
        <v>5549.2</v>
      </c>
      <c r="F269" s="45">
        <v>3426.6</v>
      </c>
      <c r="G269" s="42">
        <f t="shared" si="71"/>
        <v>577638</v>
      </c>
      <c r="H269" s="57">
        <v>577638</v>
      </c>
      <c r="I269" s="35">
        <f t="shared" si="77"/>
        <v>168.57468044125372</v>
      </c>
      <c r="J269" s="35">
        <v>0</v>
      </c>
      <c r="K269" s="35">
        <v>0</v>
      </c>
      <c r="L269" s="35">
        <f t="shared" si="78"/>
        <v>0</v>
      </c>
      <c r="M269" s="35">
        <v>0</v>
      </c>
      <c r="N269" s="35"/>
      <c r="O269" s="35">
        <v>0</v>
      </c>
      <c r="P269" s="35">
        <f t="shared" si="74"/>
        <v>0</v>
      </c>
      <c r="Q269" s="35">
        <v>0</v>
      </c>
      <c r="R269" s="35"/>
      <c r="S269" s="35">
        <v>0</v>
      </c>
      <c r="T269" s="35">
        <v>0</v>
      </c>
      <c r="U269" s="35">
        <v>0</v>
      </c>
      <c r="V269" s="35">
        <v>0</v>
      </c>
      <c r="W269" s="58">
        <f t="shared" si="70"/>
        <v>577638</v>
      </c>
      <c r="X269" s="165">
        <v>2016</v>
      </c>
      <c r="Y269" s="165">
        <v>2016</v>
      </c>
      <c r="Z269" s="155">
        <f t="shared" si="75"/>
        <v>111</v>
      </c>
      <c r="AA269" s="155">
        <f t="shared" si="76"/>
        <v>16</v>
      </c>
    </row>
    <row r="270" spans="1:27" s="118" customFormat="1" ht="18" customHeight="1" x14ac:dyDescent="0.25">
      <c r="A270" s="165">
        <f t="shared" si="69"/>
        <v>224</v>
      </c>
      <c r="B270" s="59" t="s">
        <v>424</v>
      </c>
      <c r="C270" s="146">
        <v>1974</v>
      </c>
      <c r="D270" s="56"/>
      <c r="E270" s="45">
        <v>3882.9</v>
      </c>
      <c r="F270" s="45">
        <v>3402.7</v>
      </c>
      <c r="G270" s="42">
        <f t="shared" si="71"/>
        <v>707353.2</v>
      </c>
      <c r="H270" s="57">
        <v>707353.2</v>
      </c>
      <c r="I270" s="35">
        <f t="shared" si="77"/>
        <v>207.8799776647956</v>
      </c>
      <c r="J270" s="35">
        <v>0</v>
      </c>
      <c r="K270" s="35">
        <v>0</v>
      </c>
      <c r="L270" s="35">
        <f t="shared" si="78"/>
        <v>0</v>
      </c>
      <c r="M270" s="35">
        <v>0</v>
      </c>
      <c r="N270" s="35"/>
      <c r="O270" s="35">
        <v>0</v>
      </c>
      <c r="P270" s="35">
        <f t="shared" si="74"/>
        <v>0</v>
      </c>
      <c r="Q270" s="35">
        <v>0</v>
      </c>
      <c r="R270" s="35"/>
      <c r="S270" s="35">
        <v>0</v>
      </c>
      <c r="T270" s="35">
        <v>0</v>
      </c>
      <c r="U270" s="35">
        <v>0</v>
      </c>
      <c r="V270" s="35">
        <v>0</v>
      </c>
      <c r="W270" s="58">
        <f t="shared" si="70"/>
        <v>707353.2</v>
      </c>
      <c r="X270" s="165">
        <v>2016</v>
      </c>
      <c r="Y270" s="165">
        <v>2016</v>
      </c>
      <c r="Z270" s="155">
        <f t="shared" si="75"/>
        <v>112</v>
      </c>
      <c r="AA270" s="155">
        <f t="shared" si="76"/>
        <v>17</v>
      </c>
    </row>
    <row r="271" spans="1:27" s="118" customFormat="1" ht="18" customHeight="1" x14ac:dyDescent="0.25">
      <c r="A271" s="165">
        <f t="shared" si="69"/>
        <v>225</v>
      </c>
      <c r="B271" s="59" t="s">
        <v>428</v>
      </c>
      <c r="C271" s="146">
        <v>1957</v>
      </c>
      <c r="D271" s="56"/>
      <c r="E271" s="45">
        <v>2275.6</v>
      </c>
      <c r="F271" s="45">
        <v>2122.9</v>
      </c>
      <c r="G271" s="42">
        <f t="shared" si="71"/>
        <v>455016.6</v>
      </c>
      <c r="H271" s="57">
        <v>455016.6</v>
      </c>
      <c r="I271" s="35">
        <f t="shared" si="77"/>
        <v>214.33727448301849</v>
      </c>
      <c r="J271" s="35">
        <v>0</v>
      </c>
      <c r="K271" s="35">
        <v>0</v>
      </c>
      <c r="L271" s="35">
        <f t="shared" si="78"/>
        <v>0</v>
      </c>
      <c r="M271" s="35">
        <v>0</v>
      </c>
      <c r="N271" s="35"/>
      <c r="O271" s="35">
        <v>0</v>
      </c>
      <c r="P271" s="35">
        <f t="shared" si="74"/>
        <v>0</v>
      </c>
      <c r="Q271" s="35">
        <v>0</v>
      </c>
      <c r="R271" s="35"/>
      <c r="S271" s="35">
        <v>0</v>
      </c>
      <c r="T271" s="35">
        <v>0</v>
      </c>
      <c r="U271" s="35">
        <v>0</v>
      </c>
      <c r="V271" s="35">
        <v>0</v>
      </c>
      <c r="W271" s="58">
        <f t="shared" si="70"/>
        <v>455016.6</v>
      </c>
      <c r="X271" s="165">
        <v>2016</v>
      </c>
      <c r="Y271" s="165">
        <v>2016</v>
      </c>
      <c r="Z271" s="155">
        <f t="shared" si="75"/>
        <v>113</v>
      </c>
      <c r="AA271" s="155">
        <f t="shared" si="76"/>
        <v>18</v>
      </c>
    </row>
    <row r="272" spans="1:27" s="118" customFormat="1" ht="18" customHeight="1" x14ac:dyDescent="0.25">
      <c r="A272" s="165">
        <f t="shared" si="69"/>
        <v>226</v>
      </c>
      <c r="B272" s="59" t="s">
        <v>486</v>
      </c>
      <c r="C272" s="146">
        <v>1983</v>
      </c>
      <c r="D272" s="56"/>
      <c r="E272" s="45">
        <v>1506.1</v>
      </c>
      <c r="F272" s="45">
        <v>1361.3</v>
      </c>
      <c r="G272" s="42">
        <f t="shared" si="71"/>
        <v>972864</v>
      </c>
      <c r="H272" s="35">
        <v>0</v>
      </c>
      <c r="I272" s="35"/>
      <c r="J272" s="35">
        <v>0</v>
      </c>
      <c r="K272" s="57">
        <v>972864</v>
      </c>
      <c r="L272" s="35">
        <f t="shared" si="78"/>
        <v>714.65804745463902</v>
      </c>
      <c r="M272" s="35">
        <v>0</v>
      </c>
      <c r="N272" s="35"/>
      <c r="O272" s="35">
        <v>0</v>
      </c>
      <c r="P272" s="35">
        <f t="shared" si="74"/>
        <v>0</v>
      </c>
      <c r="Q272" s="35">
        <v>0</v>
      </c>
      <c r="R272" s="35"/>
      <c r="S272" s="35">
        <v>0</v>
      </c>
      <c r="T272" s="35">
        <v>0</v>
      </c>
      <c r="U272" s="35">
        <v>0</v>
      </c>
      <c r="V272" s="35">
        <v>0</v>
      </c>
      <c r="W272" s="58">
        <f t="shared" si="70"/>
        <v>972864</v>
      </c>
      <c r="X272" s="165">
        <v>2016</v>
      </c>
      <c r="Y272" s="165">
        <v>2016</v>
      </c>
      <c r="Z272" s="155">
        <f t="shared" si="75"/>
        <v>114</v>
      </c>
      <c r="AA272" s="155">
        <f t="shared" si="76"/>
        <v>19</v>
      </c>
    </row>
    <row r="273" spans="1:28" s="118" customFormat="1" ht="18" customHeight="1" x14ac:dyDescent="0.25">
      <c r="A273" s="165">
        <f t="shared" si="69"/>
        <v>227</v>
      </c>
      <c r="B273" s="59" t="s">
        <v>430</v>
      </c>
      <c r="C273" s="146">
        <v>1981</v>
      </c>
      <c r="D273" s="56"/>
      <c r="E273" s="45">
        <v>5449.7</v>
      </c>
      <c r="F273" s="45">
        <v>5038.7</v>
      </c>
      <c r="G273" s="42">
        <f t="shared" si="71"/>
        <v>850242.6</v>
      </c>
      <c r="H273" s="57">
        <v>850242.6</v>
      </c>
      <c r="I273" s="35">
        <f>H273/F273</f>
        <v>168.74245341060194</v>
      </c>
      <c r="J273" s="35">
        <v>0</v>
      </c>
      <c r="K273" s="35">
        <v>0</v>
      </c>
      <c r="L273" s="35"/>
      <c r="M273" s="35">
        <v>0</v>
      </c>
      <c r="N273" s="35"/>
      <c r="O273" s="35">
        <v>0</v>
      </c>
      <c r="P273" s="35">
        <f t="shared" si="74"/>
        <v>0</v>
      </c>
      <c r="Q273" s="35">
        <v>0</v>
      </c>
      <c r="R273" s="35"/>
      <c r="S273" s="35">
        <v>0</v>
      </c>
      <c r="T273" s="35">
        <v>0</v>
      </c>
      <c r="U273" s="35">
        <v>0</v>
      </c>
      <c r="V273" s="35">
        <v>0</v>
      </c>
      <c r="W273" s="58">
        <f t="shared" si="70"/>
        <v>850242.6</v>
      </c>
      <c r="X273" s="165">
        <v>2016</v>
      </c>
      <c r="Y273" s="165">
        <v>2016</v>
      </c>
      <c r="Z273" s="155">
        <f t="shared" si="75"/>
        <v>115</v>
      </c>
      <c r="AA273" s="155">
        <f t="shared" si="76"/>
        <v>20</v>
      </c>
    </row>
    <row r="274" spans="1:28" s="118" customFormat="1" ht="18" customHeight="1" x14ac:dyDescent="0.25">
      <c r="A274" s="165">
        <f t="shared" si="69"/>
        <v>228</v>
      </c>
      <c r="B274" s="59" t="s">
        <v>431</v>
      </c>
      <c r="C274" s="146">
        <v>1990</v>
      </c>
      <c r="D274" s="56"/>
      <c r="E274" s="45">
        <v>6088.7</v>
      </c>
      <c r="F274" s="45">
        <v>5339.6</v>
      </c>
      <c r="G274" s="42">
        <f t="shared" si="71"/>
        <v>1097512.2</v>
      </c>
      <c r="H274" s="57">
        <v>1097512.2</v>
      </c>
      <c r="I274" s="35">
        <f>H274/F274</f>
        <v>205.54202561989661</v>
      </c>
      <c r="J274" s="35">
        <v>0</v>
      </c>
      <c r="K274" s="35">
        <v>0</v>
      </c>
      <c r="L274" s="35"/>
      <c r="M274" s="35">
        <v>0</v>
      </c>
      <c r="N274" s="35"/>
      <c r="O274" s="35">
        <v>0</v>
      </c>
      <c r="P274" s="35"/>
      <c r="Q274" s="35">
        <v>0</v>
      </c>
      <c r="R274" s="35"/>
      <c r="S274" s="35">
        <v>0</v>
      </c>
      <c r="T274" s="35">
        <v>0</v>
      </c>
      <c r="U274" s="35">
        <v>0</v>
      </c>
      <c r="V274" s="35">
        <v>0</v>
      </c>
      <c r="W274" s="58">
        <f t="shared" si="70"/>
        <v>1097512.2</v>
      </c>
      <c r="X274" s="165">
        <v>2016</v>
      </c>
      <c r="Y274" s="165">
        <v>2016</v>
      </c>
      <c r="Z274" s="155">
        <f t="shared" si="75"/>
        <v>116</v>
      </c>
      <c r="AA274" s="155">
        <f t="shared" si="76"/>
        <v>21</v>
      </c>
    </row>
    <row r="275" spans="1:28" s="118" customFormat="1" ht="18" customHeight="1" x14ac:dyDescent="0.25">
      <c r="A275" s="165">
        <f t="shared" si="69"/>
        <v>229</v>
      </c>
      <c r="B275" s="55" t="s">
        <v>411</v>
      </c>
      <c r="C275" s="146">
        <v>1987</v>
      </c>
      <c r="D275" s="56"/>
      <c r="E275" s="45">
        <v>3879.7</v>
      </c>
      <c r="F275" s="45">
        <v>3298.3</v>
      </c>
      <c r="G275" s="42">
        <f t="shared" si="71"/>
        <v>1651842</v>
      </c>
      <c r="H275" s="35">
        <v>0</v>
      </c>
      <c r="I275" s="35"/>
      <c r="J275" s="35">
        <v>0</v>
      </c>
      <c r="K275" s="57">
        <v>1651842</v>
      </c>
      <c r="L275" s="35">
        <f>K275/F275</f>
        <v>500.81617803110692</v>
      </c>
      <c r="M275" s="35">
        <v>0</v>
      </c>
      <c r="N275" s="35"/>
      <c r="O275" s="35">
        <v>0</v>
      </c>
      <c r="P275" s="35">
        <f t="shared" ref="P275:P281" si="79">O275/F275</f>
        <v>0</v>
      </c>
      <c r="Q275" s="35">
        <v>0</v>
      </c>
      <c r="R275" s="35"/>
      <c r="S275" s="35">
        <v>0</v>
      </c>
      <c r="T275" s="35">
        <v>0</v>
      </c>
      <c r="U275" s="35">
        <v>0</v>
      </c>
      <c r="V275" s="35">
        <v>0</v>
      </c>
      <c r="W275" s="58">
        <f t="shared" si="70"/>
        <v>1651842</v>
      </c>
      <c r="X275" s="165">
        <v>2016</v>
      </c>
      <c r="Y275" s="165">
        <v>2016</v>
      </c>
      <c r="Z275" s="155">
        <f t="shared" si="75"/>
        <v>117</v>
      </c>
      <c r="AA275" s="155">
        <f t="shared" si="76"/>
        <v>22</v>
      </c>
    </row>
    <row r="276" spans="1:28" s="118" customFormat="1" ht="18" customHeight="1" x14ac:dyDescent="0.25">
      <c r="A276" s="165">
        <f t="shared" si="69"/>
        <v>230</v>
      </c>
      <c r="B276" s="55" t="s">
        <v>412</v>
      </c>
      <c r="C276" s="146">
        <v>1986</v>
      </c>
      <c r="D276" s="56"/>
      <c r="E276" s="45">
        <v>7735.7</v>
      </c>
      <c r="F276" s="45">
        <v>6554.1</v>
      </c>
      <c r="G276" s="42">
        <f t="shared" si="71"/>
        <v>3273282</v>
      </c>
      <c r="H276" s="35">
        <v>0</v>
      </c>
      <c r="I276" s="35"/>
      <c r="J276" s="35">
        <v>0</v>
      </c>
      <c r="K276" s="57">
        <v>3273282</v>
      </c>
      <c r="L276" s="35">
        <f>K276/F276</f>
        <v>499.42509269007184</v>
      </c>
      <c r="M276" s="35">
        <v>0</v>
      </c>
      <c r="N276" s="35"/>
      <c r="O276" s="35">
        <v>0</v>
      </c>
      <c r="P276" s="35">
        <f t="shared" si="79"/>
        <v>0</v>
      </c>
      <c r="Q276" s="35">
        <v>0</v>
      </c>
      <c r="R276" s="35"/>
      <c r="S276" s="35">
        <v>0</v>
      </c>
      <c r="T276" s="35">
        <v>0</v>
      </c>
      <c r="U276" s="35">
        <v>0</v>
      </c>
      <c r="V276" s="35">
        <v>0</v>
      </c>
      <c r="W276" s="58">
        <f t="shared" si="70"/>
        <v>3273282</v>
      </c>
      <c r="X276" s="165">
        <v>2016</v>
      </c>
      <c r="Y276" s="165">
        <v>2016</v>
      </c>
      <c r="Z276" s="155">
        <f t="shared" si="75"/>
        <v>118</v>
      </c>
      <c r="AA276" s="155">
        <f t="shared" si="76"/>
        <v>23</v>
      </c>
    </row>
    <row r="277" spans="1:28" s="118" customFormat="1" ht="18" customHeight="1" x14ac:dyDescent="0.25">
      <c r="A277" s="165">
        <f t="shared" si="69"/>
        <v>231</v>
      </c>
      <c r="B277" s="55" t="s">
        <v>413</v>
      </c>
      <c r="C277" s="146">
        <v>1987</v>
      </c>
      <c r="D277" s="56"/>
      <c r="E277" s="45">
        <v>3335.4</v>
      </c>
      <c r="F277" s="45">
        <v>2838.7</v>
      </c>
      <c r="G277" s="42">
        <f t="shared" si="71"/>
        <v>2412592.2599999998</v>
      </c>
      <c r="H277" s="35">
        <v>0</v>
      </c>
      <c r="I277" s="35"/>
      <c r="J277" s="57">
        <v>2412592.2599999998</v>
      </c>
      <c r="K277" s="35">
        <v>0</v>
      </c>
      <c r="L277" s="35">
        <f>K277/F277</f>
        <v>0</v>
      </c>
      <c r="M277" s="35">
        <v>0</v>
      </c>
      <c r="N277" s="35"/>
      <c r="O277" s="35">
        <v>0</v>
      </c>
      <c r="P277" s="35">
        <f t="shared" si="79"/>
        <v>0</v>
      </c>
      <c r="Q277" s="35">
        <v>0</v>
      </c>
      <c r="R277" s="35"/>
      <c r="S277" s="35">
        <v>0</v>
      </c>
      <c r="T277" s="35">
        <v>0</v>
      </c>
      <c r="U277" s="35">
        <v>0</v>
      </c>
      <c r="V277" s="35">
        <v>0</v>
      </c>
      <c r="W277" s="58">
        <f t="shared" si="70"/>
        <v>2412592.2599999998</v>
      </c>
      <c r="X277" s="165">
        <v>2016</v>
      </c>
      <c r="Y277" s="165">
        <v>2016</v>
      </c>
      <c r="Z277" s="155">
        <f t="shared" si="75"/>
        <v>119</v>
      </c>
      <c r="AA277" s="155">
        <f t="shared" si="76"/>
        <v>24</v>
      </c>
    </row>
    <row r="278" spans="1:28" s="118" customFormat="1" ht="18" customHeight="1" x14ac:dyDescent="0.25">
      <c r="A278" s="165">
        <f t="shared" si="69"/>
        <v>232</v>
      </c>
      <c r="B278" s="55" t="s">
        <v>414</v>
      </c>
      <c r="C278" s="146">
        <v>1985</v>
      </c>
      <c r="D278" s="56"/>
      <c r="E278" s="45">
        <v>3335.4</v>
      </c>
      <c r="F278" s="45">
        <v>2838.7</v>
      </c>
      <c r="G278" s="42">
        <f t="shared" si="71"/>
        <v>1672110</v>
      </c>
      <c r="H278" s="35">
        <v>0</v>
      </c>
      <c r="I278" s="35"/>
      <c r="J278" s="35">
        <v>0</v>
      </c>
      <c r="K278" s="57">
        <v>1672110</v>
      </c>
      <c r="L278" s="35">
        <f>K278/F278</f>
        <v>589.04075809349354</v>
      </c>
      <c r="M278" s="35">
        <v>0</v>
      </c>
      <c r="N278" s="35"/>
      <c r="O278" s="35">
        <v>0</v>
      </c>
      <c r="P278" s="35">
        <f t="shared" si="79"/>
        <v>0</v>
      </c>
      <c r="Q278" s="35">
        <v>0</v>
      </c>
      <c r="R278" s="35"/>
      <c r="S278" s="35">
        <v>0</v>
      </c>
      <c r="T278" s="35">
        <v>0</v>
      </c>
      <c r="U278" s="35">
        <v>0</v>
      </c>
      <c r="V278" s="35">
        <v>0</v>
      </c>
      <c r="W278" s="58">
        <f t="shared" si="70"/>
        <v>1672110</v>
      </c>
      <c r="X278" s="165">
        <v>2016</v>
      </c>
      <c r="Y278" s="165">
        <v>2016</v>
      </c>
      <c r="Z278" s="155">
        <f t="shared" si="75"/>
        <v>120</v>
      </c>
      <c r="AA278" s="155">
        <f t="shared" si="76"/>
        <v>25</v>
      </c>
    </row>
    <row r="279" spans="1:28" s="118" customFormat="1" ht="18" customHeight="1" x14ac:dyDescent="0.25">
      <c r="A279" s="165">
        <f t="shared" si="69"/>
        <v>233</v>
      </c>
      <c r="B279" s="24" t="s">
        <v>406</v>
      </c>
      <c r="C279" s="142">
        <v>1975</v>
      </c>
      <c r="D279" s="47"/>
      <c r="E279" s="45">
        <v>12560.7</v>
      </c>
      <c r="F279" s="45">
        <v>11036.1</v>
      </c>
      <c r="G279" s="42">
        <f t="shared" si="71"/>
        <v>1013398.99</v>
      </c>
      <c r="H279" s="35">
        <v>0</v>
      </c>
      <c r="I279" s="35"/>
      <c r="J279" s="35">
        <v>0</v>
      </c>
      <c r="K279" s="35">
        <v>0</v>
      </c>
      <c r="L279" s="35"/>
      <c r="M279" s="35">
        <v>0</v>
      </c>
      <c r="N279" s="35"/>
      <c r="O279" s="57">
        <v>1013398.99</v>
      </c>
      <c r="P279" s="35">
        <f t="shared" si="79"/>
        <v>91.825825246237343</v>
      </c>
      <c r="Q279" s="35">
        <v>0</v>
      </c>
      <c r="R279" s="35"/>
      <c r="S279" s="35">
        <v>0</v>
      </c>
      <c r="T279" s="35">
        <v>0</v>
      </c>
      <c r="U279" s="35">
        <v>0</v>
      </c>
      <c r="V279" s="35">
        <v>0</v>
      </c>
      <c r="W279" s="42">
        <f t="shared" si="70"/>
        <v>1013398.99</v>
      </c>
      <c r="X279" s="165">
        <v>2015</v>
      </c>
      <c r="Y279" s="165">
        <v>2016</v>
      </c>
      <c r="Z279" s="155">
        <f t="shared" si="75"/>
        <v>121</v>
      </c>
      <c r="AA279" s="155">
        <f t="shared" si="76"/>
        <v>26</v>
      </c>
    </row>
    <row r="280" spans="1:28" s="118" customFormat="1" ht="18" customHeight="1" x14ac:dyDescent="0.25">
      <c r="A280" s="165">
        <f t="shared" si="69"/>
        <v>234</v>
      </c>
      <c r="B280" s="55" t="s">
        <v>184</v>
      </c>
      <c r="C280" s="146">
        <v>1974</v>
      </c>
      <c r="D280" s="56"/>
      <c r="E280" s="45">
        <v>3917.4</v>
      </c>
      <c r="F280" s="45">
        <v>3432.9</v>
      </c>
      <c r="G280" s="42">
        <f t="shared" si="71"/>
        <v>3624648</v>
      </c>
      <c r="H280" s="35">
        <v>800000</v>
      </c>
      <c r="I280" s="35">
        <f>H280/F280</f>
        <v>233.03912144251217</v>
      </c>
      <c r="J280" s="35">
        <v>0</v>
      </c>
      <c r="K280" s="57">
        <v>2824648</v>
      </c>
      <c r="L280" s="35">
        <f>K280/F280</f>
        <v>822.81686038043631</v>
      </c>
      <c r="M280" s="35">
        <v>0</v>
      </c>
      <c r="N280" s="35"/>
      <c r="O280" s="35">
        <v>0</v>
      </c>
      <c r="P280" s="35">
        <f t="shared" si="79"/>
        <v>0</v>
      </c>
      <c r="Q280" s="35">
        <v>0</v>
      </c>
      <c r="R280" s="35"/>
      <c r="S280" s="35">
        <v>0</v>
      </c>
      <c r="T280" s="35">
        <v>0</v>
      </c>
      <c r="U280" s="35">
        <v>0</v>
      </c>
      <c r="V280" s="35">
        <v>0</v>
      </c>
      <c r="W280" s="58">
        <f t="shared" si="70"/>
        <v>3624648</v>
      </c>
      <c r="X280" s="165">
        <v>2016</v>
      </c>
      <c r="Y280" s="165">
        <v>2016</v>
      </c>
      <c r="Z280" s="155">
        <f t="shared" si="75"/>
        <v>122</v>
      </c>
      <c r="AA280" s="155">
        <f t="shared" si="76"/>
        <v>27</v>
      </c>
    </row>
    <row r="281" spans="1:28" s="118" customFormat="1" ht="18" customHeight="1" x14ac:dyDescent="0.25">
      <c r="A281" s="165">
        <f t="shared" si="69"/>
        <v>235</v>
      </c>
      <c r="B281" s="59" t="s">
        <v>433</v>
      </c>
      <c r="C281" s="146">
        <v>1969</v>
      </c>
      <c r="D281" s="56"/>
      <c r="E281" s="45">
        <v>3979.1</v>
      </c>
      <c r="F281" s="45">
        <v>3666.8</v>
      </c>
      <c r="G281" s="42">
        <f t="shared" si="71"/>
        <v>1094472</v>
      </c>
      <c r="H281" s="57">
        <v>1094472</v>
      </c>
      <c r="I281" s="35">
        <f>H281/F281</f>
        <v>298.48150976328134</v>
      </c>
      <c r="J281" s="35">
        <v>0</v>
      </c>
      <c r="K281" s="35">
        <v>0</v>
      </c>
      <c r="L281" s="35">
        <f>K281/F281</f>
        <v>0</v>
      </c>
      <c r="M281" s="35">
        <v>0</v>
      </c>
      <c r="N281" s="35"/>
      <c r="O281" s="35">
        <v>0</v>
      </c>
      <c r="P281" s="35">
        <f t="shared" si="79"/>
        <v>0</v>
      </c>
      <c r="Q281" s="35">
        <v>0</v>
      </c>
      <c r="R281" s="35"/>
      <c r="S281" s="35">
        <v>0</v>
      </c>
      <c r="T281" s="35">
        <v>0</v>
      </c>
      <c r="U281" s="35">
        <v>0</v>
      </c>
      <c r="V281" s="35">
        <v>0</v>
      </c>
      <c r="W281" s="58">
        <f t="shared" si="70"/>
        <v>1094472</v>
      </c>
      <c r="X281" s="165">
        <v>2016</v>
      </c>
      <c r="Y281" s="165">
        <v>2016</v>
      </c>
      <c r="Z281" s="155">
        <f t="shared" si="75"/>
        <v>123</v>
      </c>
      <c r="AA281" s="155">
        <f t="shared" si="76"/>
        <v>28</v>
      </c>
    </row>
    <row r="282" spans="1:28" s="116" customFormat="1" ht="19.5" customHeight="1" x14ac:dyDescent="0.25">
      <c r="A282" s="183" t="s">
        <v>173</v>
      </c>
      <c r="B282" s="183"/>
      <c r="C282" s="142"/>
      <c r="D282" s="165"/>
      <c r="E282" s="28">
        <v>0</v>
      </c>
      <c r="F282" s="28">
        <v>0</v>
      </c>
      <c r="G282" s="19">
        <v>0</v>
      </c>
      <c r="H282" s="28">
        <v>0</v>
      </c>
      <c r="I282" s="28"/>
      <c r="J282" s="28">
        <v>0</v>
      </c>
      <c r="K282" s="28">
        <v>0</v>
      </c>
      <c r="L282" s="28"/>
      <c r="M282" s="28">
        <v>0</v>
      </c>
      <c r="N282" s="28"/>
      <c r="O282" s="28">
        <v>0</v>
      </c>
      <c r="P282" s="28"/>
      <c r="Q282" s="28">
        <v>0</v>
      </c>
      <c r="R282" s="28"/>
      <c r="S282" s="28">
        <v>0</v>
      </c>
      <c r="T282" s="28">
        <v>0</v>
      </c>
      <c r="U282" s="28">
        <v>0</v>
      </c>
      <c r="V282" s="28">
        <v>0</v>
      </c>
      <c r="W282" s="19">
        <v>0</v>
      </c>
      <c r="X282" s="20" t="s">
        <v>368</v>
      </c>
      <c r="Y282" s="20" t="s">
        <v>368</v>
      </c>
      <c r="Z282" s="156"/>
      <c r="AA282" s="156"/>
    </row>
    <row r="283" spans="1:28" s="116" customFormat="1" ht="19.5" customHeight="1" x14ac:dyDescent="0.25">
      <c r="A283" s="183" t="s">
        <v>171</v>
      </c>
      <c r="B283" s="183"/>
      <c r="C283" s="144"/>
      <c r="D283" s="167"/>
      <c r="E283" s="29">
        <f>SUM(E232:E253)</f>
        <v>97342.900000000009</v>
      </c>
      <c r="F283" s="29">
        <f>SUM(F232:F253)</f>
        <v>87468.7</v>
      </c>
      <c r="G283" s="19">
        <f t="shared" ref="G283:V283" si="80">SUM(G232:G253)</f>
        <v>35808224.75</v>
      </c>
      <c r="H283" s="28">
        <f t="shared" si="80"/>
        <v>7400000</v>
      </c>
      <c r="I283" s="28"/>
      <c r="J283" s="28">
        <f t="shared" si="80"/>
        <v>3044614.5</v>
      </c>
      <c r="K283" s="28">
        <f t="shared" si="80"/>
        <v>17817452.5</v>
      </c>
      <c r="L283" s="28"/>
      <c r="M283" s="28">
        <f t="shared" si="80"/>
        <v>0</v>
      </c>
      <c r="N283" s="28"/>
      <c r="O283" s="28">
        <f t="shared" si="80"/>
        <v>7546157.75</v>
      </c>
      <c r="P283" s="28"/>
      <c r="Q283" s="28">
        <f t="shared" si="80"/>
        <v>0</v>
      </c>
      <c r="R283" s="28"/>
      <c r="S283" s="28">
        <f t="shared" si="80"/>
        <v>0</v>
      </c>
      <c r="T283" s="28">
        <f t="shared" si="80"/>
        <v>5555192.6400000006</v>
      </c>
      <c r="U283" s="28">
        <f t="shared" si="80"/>
        <v>0</v>
      </c>
      <c r="V283" s="28">
        <f t="shared" si="80"/>
        <v>6861421.3600000003</v>
      </c>
      <c r="W283" s="19">
        <f>SUM(W232:W253)</f>
        <v>23391610.75</v>
      </c>
      <c r="X283" s="20" t="s">
        <v>368</v>
      </c>
      <c r="Y283" s="20" t="s">
        <v>368</v>
      </c>
      <c r="Z283" s="156"/>
      <c r="AA283" s="156"/>
    </row>
    <row r="284" spans="1:28" s="116" customFormat="1" ht="19.5" customHeight="1" x14ac:dyDescent="0.25">
      <c r="A284" s="183" t="s">
        <v>172</v>
      </c>
      <c r="B284" s="183"/>
      <c r="C284" s="146"/>
      <c r="D284" s="56"/>
      <c r="E284" s="60">
        <f>SUM(E254:E281)</f>
        <v>132137.29999999999</v>
      </c>
      <c r="F284" s="60">
        <f>SUM(F254:F281)</f>
        <v>116455</v>
      </c>
      <c r="G284" s="19">
        <f>SUM(G254:G281)</f>
        <v>39128041.919999994</v>
      </c>
      <c r="H284" s="61">
        <f t="shared" ref="H284:V284" si="81">SUM(H254:H281)</f>
        <v>14435296.999999998</v>
      </c>
      <c r="I284" s="61"/>
      <c r="J284" s="28">
        <f t="shared" si="81"/>
        <v>5347297.32</v>
      </c>
      <c r="K284" s="61">
        <f t="shared" si="81"/>
        <v>12194746</v>
      </c>
      <c r="L284" s="61"/>
      <c r="M284" s="28">
        <f t="shared" si="81"/>
        <v>0</v>
      </c>
      <c r="N284" s="61"/>
      <c r="O284" s="61">
        <f t="shared" si="81"/>
        <v>7150701.6000000006</v>
      </c>
      <c r="P284" s="61"/>
      <c r="Q284" s="28">
        <f t="shared" si="81"/>
        <v>0</v>
      </c>
      <c r="R284" s="28"/>
      <c r="S284" s="28">
        <f t="shared" si="81"/>
        <v>0</v>
      </c>
      <c r="T284" s="28">
        <f t="shared" si="81"/>
        <v>0</v>
      </c>
      <c r="U284" s="28">
        <f t="shared" si="81"/>
        <v>0</v>
      </c>
      <c r="V284" s="28">
        <f t="shared" si="81"/>
        <v>0</v>
      </c>
      <c r="W284" s="19">
        <f>SUM(W254:W281)</f>
        <v>39128041.919999994</v>
      </c>
      <c r="X284" s="20" t="s">
        <v>368</v>
      </c>
      <c r="Y284" s="20" t="s">
        <v>368</v>
      </c>
      <c r="Z284" s="156"/>
      <c r="AA284" s="156"/>
      <c r="AB284" s="157">
        <f>T284+V284+W284</f>
        <v>39128041.919999994</v>
      </c>
    </row>
    <row r="285" spans="1:28" s="116" customFormat="1" ht="17.25" customHeight="1" x14ac:dyDescent="0.25">
      <c r="A285" s="182" t="s">
        <v>203</v>
      </c>
      <c r="B285" s="182"/>
      <c r="C285" s="182"/>
      <c r="D285" s="182"/>
      <c r="E285" s="182"/>
      <c r="F285" s="182"/>
      <c r="G285" s="182"/>
      <c r="H285" s="182"/>
      <c r="I285" s="182"/>
      <c r="J285" s="182"/>
      <c r="K285" s="182"/>
      <c r="L285" s="182"/>
      <c r="M285" s="182"/>
      <c r="N285" s="182"/>
      <c r="O285" s="182"/>
      <c r="P285" s="182"/>
      <c r="Q285" s="182"/>
      <c r="R285" s="182"/>
      <c r="S285" s="182"/>
      <c r="T285" s="182"/>
      <c r="U285" s="182"/>
      <c r="V285" s="182"/>
      <c r="W285" s="182"/>
      <c r="X285" s="167"/>
      <c r="Y285" s="167"/>
      <c r="Z285" s="156"/>
      <c r="AA285" s="156"/>
    </row>
    <row r="286" spans="1:28" s="116" customFormat="1" ht="18" customHeight="1" x14ac:dyDescent="0.25">
      <c r="A286" s="62">
        <f>A281+1</f>
        <v>236</v>
      </c>
      <c r="B286" s="63" t="s">
        <v>494</v>
      </c>
      <c r="C286" s="147">
        <v>1990</v>
      </c>
      <c r="D286" s="64"/>
      <c r="E286" s="65">
        <v>2407.9</v>
      </c>
      <c r="F286" s="66">
        <v>2121.5</v>
      </c>
      <c r="G286" s="42">
        <f>H286+J286+K286+M286+O286+Q286+S286</f>
        <v>1970152.19</v>
      </c>
      <c r="H286" s="35">
        <v>0</v>
      </c>
      <c r="I286" s="35"/>
      <c r="J286" s="35">
        <v>0</v>
      </c>
      <c r="K286" s="67">
        <v>1970152.19</v>
      </c>
      <c r="L286" s="35">
        <f>K286/F286</f>
        <v>928.66</v>
      </c>
      <c r="M286" s="35">
        <v>0</v>
      </c>
      <c r="N286" s="35"/>
      <c r="O286" s="35">
        <v>0</v>
      </c>
      <c r="P286" s="35"/>
      <c r="Q286" s="35">
        <v>0</v>
      </c>
      <c r="R286" s="35"/>
      <c r="S286" s="35">
        <v>0</v>
      </c>
      <c r="T286" s="35">
        <v>0</v>
      </c>
      <c r="U286" s="35">
        <v>0</v>
      </c>
      <c r="V286" s="35">
        <v>0</v>
      </c>
      <c r="W286" s="68">
        <f>G286</f>
        <v>1970152.19</v>
      </c>
      <c r="X286" s="165">
        <v>2016</v>
      </c>
      <c r="Y286" s="165">
        <v>2016</v>
      </c>
      <c r="Z286" s="156">
        <f>Z281+1</f>
        <v>124</v>
      </c>
      <c r="AA286" s="156"/>
    </row>
    <row r="287" spans="1:28" s="116" customFormat="1" ht="18" customHeight="1" x14ac:dyDescent="0.25">
      <c r="A287" s="62">
        <f>A286+1</f>
        <v>237</v>
      </c>
      <c r="B287" s="63" t="s">
        <v>495</v>
      </c>
      <c r="C287" s="147">
        <v>1991</v>
      </c>
      <c r="D287" s="64"/>
      <c r="E287" s="65">
        <v>3710.4</v>
      </c>
      <c r="F287" s="66">
        <v>3322.9</v>
      </c>
      <c r="G287" s="42">
        <f>H287+J287+K287+M287+O287+Q287+S287</f>
        <v>1645799.14</v>
      </c>
      <c r="H287" s="67">
        <v>1645799.14</v>
      </c>
      <c r="I287" s="67">
        <f>H287/F287</f>
        <v>495.289999699058</v>
      </c>
      <c r="J287" s="35">
        <v>0</v>
      </c>
      <c r="K287" s="35">
        <v>0</v>
      </c>
      <c r="L287" s="35">
        <f>K287/F287</f>
        <v>0</v>
      </c>
      <c r="M287" s="35">
        <v>0</v>
      </c>
      <c r="N287" s="35"/>
      <c r="O287" s="35">
        <v>0</v>
      </c>
      <c r="P287" s="35"/>
      <c r="Q287" s="35">
        <v>0</v>
      </c>
      <c r="R287" s="35"/>
      <c r="S287" s="35">
        <v>0</v>
      </c>
      <c r="T287" s="35">
        <v>0</v>
      </c>
      <c r="U287" s="35">
        <v>0</v>
      </c>
      <c r="V287" s="35">
        <v>0</v>
      </c>
      <c r="W287" s="68">
        <f>G287</f>
        <v>1645799.14</v>
      </c>
      <c r="X287" s="165">
        <v>2016</v>
      </c>
      <c r="Y287" s="165">
        <v>2016</v>
      </c>
      <c r="Z287" s="156">
        <f>Z286+1</f>
        <v>125</v>
      </c>
      <c r="AA287" s="156"/>
    </row>
    <row r="288" spans="1:28" s="116" customFormat="1" ht="19.5" customHeight="1" x14ac:dyDescent="0.25">
      <c r="A288" s="183" t="s">
        <v>173</v>
      </c>
      <c r="B288" s="183"/>
      <c r="C288" s="142"/>
      <c r="D288" s="165"/>
      <c r="E288" s="28">
        <v>0</v>
      </c>
      <c r="F288" s="28">
        <v>0</v>
      </c>
      <c r="G288" s="19">
        <v>0</v>
      </c>
      <c r="H288" s="28">
        <v>0</v>
      </c>
      <c r="I288" s="28"/>
      <c r="J288" s="28">
        <v>0</v>
      </c>
      <c r="K288" s="28">
        <v>0</v>
      </c>
      <c r="L288" s="28"/>
      <c r="M288" s="28">
        <v>0</v>
      </c>
      <c r="N288" s="28"/>
      <c r="O288" s="28">
        <v>0</v>
      </c>
      <c r="P288" s="28"/>
      <c r="Q288" s="28">
        <v>0</v>
      </c>
      <c r="R288" s="28"/>
      <c r="S288" s="28">
        <v>0</v>
      </c>
      <c r="T288" s="28">
        <v>0</v>
      </c>
      <c r="U288" s="28">
        <v>0</v>
      </c>
      <c r="V288" s="28">
        <v>0</v>
      </c>
      <c r="W288" s="19">
        <v>0</v>
      </c>
      <c r="X288" s="20" t="s">
        <v>368</v>
      </c>
      <c r="Y288" s="20" t="s">
        <v>368</v>
      </c>
      <c r="Z288" s="156"/>
      <c r="AA288" s="156"/>
    </row>
    <row r="289" spans="1:28" s="116" customFormat="1" ht="19.5" customHeight="1" x14ac:dyDescent="0.25">
      <c r="A289" s="183" t="s">
        <v>171</v>
      </c>
      <c r="B289" s="183"/>
      <c r="C289" s="144"/>
      <c r="D289" s="167"/>
      <c r="E289" s="28">
        <v>0</v>
      </c>
      <c r="F289" s="28">
        <v>0</v>
      </c>
      <c r="G289" s="19">
        <v>0</v>
      </c>
      <c r="H289" s="28">
        <v>0</v>
      </c>
      <c r="I289" s="28"/>
      <c r="J289" s="28">
        <v>0</v>
      </c>
      <c r="K289" s="28">
        <v>0</v>
      </c>
      <c r="L289" s="28"/>
      <c r="M289" s="28">
        <v>0</v>
      </c>
      <c r="N289" s="28"/>
      <c r="O289" s="28">
        <v>0</v>
      </c>
      <c r="P289" s="28"/>
      <c r="Q289" s="28">
        <v>0</v>
      </c>
      <c r="R289" s="28"/>
      <c r="S289" s="28">
        <v>0</v>
      </c>
      <c r="T289" s="28">
        <v>0</v>
      </c>
      <c r="U289" s="28">
        <v>0</v>
      </c>
      <c r="V289" s="28">
        <v>0</v>
      </c>
      <c r="W289" s="19">
        <v>0</v>
      </c>
      <c r="X289" s="20" t="s">
        <v>368</v>
      </c>
      <c r="Y289" s="20" t="s">
        <v>368</v>
      </c>
      <c r="Z289" s="156"/>
      <c r="AA289" s="156"/>
    </row>
    <row r="290" spans="1:28" s="116" customFormat="1" ht="19.5" customHeight="1" x14ac:dyDescent="0.25">
      <c r="A290" s="183" t="s">
        <v>172</v>
      </c>
      <c r="B290" s="183"/>
      <c r="C290" s="146"/>
      <c r="D290" s="56"/>
      <c r="E290" s="29">
        <f>SUM(E286:E287)</f>
        <v>6118.3</v>
      </c>
      <c r="F290" s="29">
        <f>SUM(F286:F287)</f>
        <v>5444.4</v>
      </c>
      <c r="G290" s="19">
        <f t="shared" ref="G290:W290" si="82">SUM(G286:G287)</f>
        <v>3615951.33</v>
      </c>
      <c r="H290" s="28">
        <f t="shared" si="82"/>
        <v>1645799.14</v>
      </c>
      <c r="I290" s="28"/>
      <c r="J290" s="28">
        <f t="shared" si="82"/>
        <v>0</v>
      </c>
      <c r="K290" s="28">
        <f t="shared" si="82"/>
        <v>1970152.19</v>
      </c>
      <c r="L290" s="28"/>
      <c r="M290" s="28">
        <f t="shared" si="82"/>
        <v>0</v>
      </c>
      <c r="N290" s="28"/>
      <c r="O290" s="28">
        <f t="shared" si="82"/>
        <v>0</v>
      </c>
      <c r="P290" s="28"/>
      <c r="Q290" s="28">
        <f t="shared" si="82"/>
        <v>0</v>
      </c>
      <c r="R290" s="28"/>
      <c r="S290" s="28">
        <f t="shared" si="82"/>
        <v>0</v>
      </c>
      <c r="T290" s="28">
        <f t="shared" si="82"/>
        <v>0</v>
      </c>
      <c r="U290" s="28">
        <f t="shared" si="82"/>
        <v>0</v>
      </c>
      <c r="V290" s="28">
        <f t="shared" si="82"/>
        <v>0</v>
      </c>
      <c r="W290" s="19">
        <f t="shared" si="82"/>
        <v>3615951.33</v>
      </c>
      <c r="X290" s="20" t="s">
        <v>368</v>
      </c>
      <c r="Y290" s="20" t="s">
        <v>368</v>
      </c>
      <c r="Z290" s="156"/>
      <c r="AA290" s="156"/>
      <c r="AB290" s="157">
        <f>T290+V290+W290</f>
        <v>3615951.33</v>
      </c>
    </row>
    <row r="291" spans="1:28" s="116" customFormat="1" ht="17.25" customHeight="1" x14ac:dyDescent="0.25">
      <c r="A291" s="182" t="s">
        <v>204</v>
      </c>
      <c r="B291" s="182"/>
      <c r="C291" s="182"/>
      <c r="D291" s="182"/>
      <c r="E291" s="182"/>
      <c r="F291" s="182"/>
      <c r="G291" s="182"/>
      <c r="H291" s="182"/>
      <c r="I291" s="182"/>
      <c r="J291" s="182"/>
      <c r="K291" s="182"/>
      <c r="L291" s="182"/>
      <c r="M291" s="182"/>
      <c r="N291" s="182"/>
      <c r="O291" s="182"/>
      <c r="P291" s="182"/>
      <c r="Q291" s="182"/>
      <c r="R291" s="182"/>
      <c r="S291" s="182"/>
      <c r="T291" s="182"/>
      <c r="U291" s="182"/>
      <c r="V291" s="182"/>
      <c r="W291" s="182"/>
      <c r="X291" s="167"/>
      <c r="Y291" s="167"/>
      <c r="Z291" s="156"/>
      <c r="AA291" s="156"/>
    </row>
    <row r="292" spans="1:28" s="116" customFormat="1" ht="18" customHeight="1" x14ac:dyDescent="0.25">
      <c r="A292" s="64">
        <f>A287+1</f>
        <v>238</v>
      </c>
      <c r="B292" s="69" t="s">
        <v>496</v>
      </c>
      <c r="C292" s="147">
        <v>1982</v>
      </c>
      <c r="D292" s="64"/>
      <c r="E292" s="70">
        <v>3998.5</v>
      </c>
      <c r="F292" s="128">
        <v>3393.3</v>
      </c>
      <c r="G292" s="42">
        <f>H292+J292+K292+M292+O292+Q292+S292</f>
        <v>4021580.94</v>
      </c>
      <c r="H292" s="35">
        <v>0</v>
      </c>
      <c r="I292" s="35"/>
      <c r="J292" s="71">
        <v>4021580.94</v>
      </c>
      <c r="K292" s="35">
        <v>0</v>
      </c>
      <c r="L292" s="35"/>
      <c r="M292" s="35">
        <v>0</v>
      </c>
      <c r="N292" s="35"/>
      <c r="O292" s="35">
        <v>0</v>
      </c>
      <c r="P292" s="35"/>
      <c r="Q292" s="35">
        <v>0</v>
      </c>
      <c r="R292" s="35"/>
      <c r="S292" s="35">
        <v>0</v>
      </c>
      <c r="T292" s="35">
        <v>0</v>
      </c>
      <c r="U292" s="35">
        <v>0</v>
      </c>
      <c r="V292" s="35">
        <v>0</v>
      </c>
      <c r="W292" s="72">
        <f>G292</f>
        <v>4021580.94</v>
      </c>
      <c r="X292" s="165">
        <v>2016</v>
      </c>
      <c r="Y292" s="165">
        <v>2016</v>
      </c>
      <c r="Z292" s="156">
        <f>Z287+1</f>
        <v>126</v>
      </c>
      <c r="AA292" s="156"/>
    </row>
    <row r="293" spans="1:28" s="116" customFormat="1" ht="18" customHeight="1" x14ac:dyDescent="0.3">
      <c r="A293" s="64">
        <f>A292+1</f>
        <v>239</v>
      </c>
      <c r="B293" s="73" t="s">
        <v>497</v>
      </c>
      <c r="C293" s="147">
        <v>1987</v>
      </c>
      <c r="D293" s="64"/>
      <c r="E293" s="70">
        <v>3323</v>
      </c>
      <c r="F293" s="128">
        <v>2978.8</v>
      </c>
      <c r="G293" s="42">
        <f>H293+J293+K293+M293+O293+Q293+S293</f>
        <v>2766292.41</v>
      </c>
      <c r="H293" s="35">
        <v>0</v>
      </c>
      <c r="I293" s="35"/>
      <c r="J293" s="35">
        <v>0</v>
      </c>
      <c r="K293" s="57">
        <v>2766292.41</v>
      </c>
      <c r="L293" s="35">
        <f>K293/F293</f>
        <v>928.66000067141135</v>
      </c>
      <c r="M293" s="35">
        <v>0</v>
      </c>
      <c r="N293" s="35"/>
      <c r="O293" s="35">
        <v>0</v>
      </c>
      <c r="P293" s="35"/>
      <c r="Q293" s="35">
        <v>0</v>
      </c>
      <c r="R293" s="35"/>
      <c r="S293" s="35">
        <v>0</v>
      </c>
      <c r="T293" s="35">
        <v>0</v>
      </c>
      <c r="U293" s="35">
        <v>0</v>
      </c>
      <c r="V293" s="35">
        <v>0</v>
      </c>
      <c r="W293" s="72">
        <f>G293</f>
        <v>2766292.41</v>
      </c>
      <c r="X293" s="165">
        <v>2016</v>
      </c>
      <c r="Y293" s="165">
        <v>2016</v>
      </c>
      <c r="Z293" s="156">
        <f>Z292+1</f>
        <v>127</v>
      </c>
      <c r="AA293" s="156"/>
    </row>
    <row r="294" spans="1:28" s="116" customFormat="1" ht="19.5" customHeight="1" x14ac:dyDescent="0.25">
      <c r="A294" s="183" t="s">
        <v>173</v>
      </c>
      <c r="B294" s="183"/>
      <c r="C294" s="142"/>
      <c r="D294" s="165"/>
      <c r="E294" s="28">
        <v>0</v>
      </c>
      <c r="F294" s="28">
        <v>0</v>
      </c>
      <c r="G294" s="19">
        <v>0</v>
      </c>
      <c r="H294" s="28">
        <v>0</v>
      </c>
      <c r="I294" s="28"/>
      <c r="J294" s="28">
        <v>0</v>
      </c>
      <c r="K294" s="28">
        <v>0</v>
      </c>
      <c r="L294" s="28"/>
      <c r="M294" s="28">
        <v>0</v>
      </c>
      <c r="N294" s="28"/>
      <c r="O294" s="28">
        <v>0</v>
      </c>
      <c r="P294" s="28"/>
      <c r="Q294" s="28">
        <v>0</v>
      </c>
      <c r="R294" s="28"/>
      <c r="S294" s="28">
        <v>0</v>
      </c>
      <c r="T294" s="28">
        <v>0</v>
      </c>
      <c r="U294" s="28">
        <v>0</v>
      </c>
      <c r="V294" s="28">
        <v>0</v>
      </c>
      <c r="W294" s="19">
        <v>0</v>
      </c>
      <c r="X294" s="20" t="s">
        <v>368</v>
      </c>
      <c r="Y294" s="20" t="s">
        <v>368</v>
      </c>
      <c r="Z294" s="156"/>
      <c r="AA294" s="156"/>
    </row>
    <row r="295" spans="1:28" s="116" customFormat="1" ht="19.5" customHeight="1" x14ac:dyDescent="0.25">
      <c r="A295" s="183" t="s">
        <v>171</v>
      </c>
      <c r="B295" s="183"/>
      <c r="C295" s="144"/>
      <c r="D295" s="167"/>
      <c r="E295" s="28">
        <v>0</v>
      </c>
      <c r="F295" s="28">
        <v>0</v>
      </c>
      <c r="G295" s="19">
        <v>0</v>
      </c>
      <c r="H295" s="28">
        <v>0</v>
      </c>
      <c r="I295" s="28"/>
      <c r="J295" s="28">
        <v>0</v>
      </c>
      <c r="K295" s="28">
        <v>0</v>
      </c>
      <c r="L295" s="28"/>
      <c r="M295" s="28">
        <v>0</v>
      </c>
      <c r="N295" s="28"/>
      <c r="O295" s="28">
        <v>0</v>
      </c>
      <c r="P295" s="28"/>
      <c r="Q295" s="28">
        <v>0</v>
      </c>
      <c r="R295" s="28"/>
      <c r="S295" s="28">
        <v>0</v>
      </c>
      <c r="T295" s="28">
        <v>0</v>
      </c>
      <c r="U295" s="28">
        <v>0</v>
      </c>
      <c r="V295" s="28">
        <v>0</v>
      </c>
      <c r="W295" s="19">
        <v>0</v>
      </c>
      <c r="X295" s="20" t="s">
        <v>368</v>
      </c>
      <c r="Y295" s="20" t="s">
        <v>368</v>
      </c>
      <c r="Z295" s="156"/>
      <c r="AA295" s="156"/>
    </row>
    <row r="296" spans="1:28" s="116" customFormat="1" ht="19.5" customHeight="1" x14ac:dyDescent="0.25">
      <c r="A296" s="183" t="s">
        <v>172</v>
      </c>
      <c r="B296" s="183"/>
      <c r="C296" s="146"/>
      <c r="D296" s="56"/>
      <c r="E296" s="29">
        <f>SUM(E292:E293)</f>
        <v>7321.5</v>
      </c>
      <c r="F296" s="29">
        <f>SUM(F292:F293)</f>
        <v>6372.1</v>
      </c>
      <c r="G296" s="19">
        <f>SUM(G292:G293)</f>
        <v>6787873.3499999996</v>
      </c>
      <c r="H296" s="28">
        <f>SUM(H292:H293)</f>
        <v>0</v>
      </c>
      <c r="I296" s="28"/>
      <c r="J296" s="28">
        <f>SUM(J292:J293)</f>
        <v>4021580.94</v>
      </c>
      <c r="K296" s="28">
        <f>SUM(K292:K293)</f>
        <v>2766292.41</v>
      </c>
      <c r="L296" s="28"/>
      <c r="M296" s="28">
        <f>SUM(M292:M293)</f>
        <v>0</v>
      </c>
      <c r="N296" s="28"/>
      <c r="O296" s="28">
        <f>SUM(O292:O293)</f>
        <v>0</v>
      </c>
      <c r="P296" s="28"/>
      <c r="Q296" s="28">
        <f>SUM(Q292:Q293)</f>
        <v>0</v>
      </c>
      <c r="R296" s="28"/>
      <c r="S296" s="28">
        <f>SUM(S292:S293)</f>
        <v>0</v>
      </c>
      <c r="T296" s="28">
        <f>SUM(T292:T293)</f>
        <v>0</v>
      </c>
      <c r="U296" s="28">
        <f>SUM(U292:U293)</f>
        <v>0</v>
      </c>
      <c r="V296" s="28">
        <f>SUM(V292:V293)</f>
        <v>0</v>
      </c>
      <c r="W296" s="19">
        <f>SUM(W292:W293)</f>
        <v>6787873.3499999996</v>
      </c>
      <c r="X296" s="20" t="s">
        <v>368</v>
      </c>
      <c r="Y296" s="20" t="s">
        <v>368</v>
      </c>
      <c r="Z296" s="156"/>
      <c r="AA296" s="156"/>
      <c r="AB296" s="157">
        <f>T296+V296+W296</f>
        <v>6787873.3499999996</v>
      </c>
    </row>
    <row r="297" spans="1:28" s="116" customFormat="1" ht="17.25" customHeight="1" x14ac:dyDescent="0.25">
      <c r="A297" s="182" t="s">
        <v>208</v>
      </c>
      <c r="B297" s="182"/>
      <c r="C297" s="182"/>
      <c r="D297" s="182"/>
      <c r="E297" s="182"/>
      <c r="F297" s="182"/>
      <c r="G297" s="182"/>
      <c r="H297" s="182"/>
      <c r="I297" s="182"/>
      <c r="J297" s="182"/>
      <c r="K297" s="182"/>
      <c r="L297" s="182"/>
      <c r="M297" s="182"/>
      <c r="N297" s="182"/>
      <c r="O297" s="182"/>
      <c r="P297" s="182"/>
      <c r="Q297" s="182"/>
      <c r="R297" s="182"/>
      <c r="S297" s="182"/>
      <c r="T297" s="182"/>
      <c r="U297" s="182"/>
      <c r="V297" s="182"/>
      <c r="W297" s="182"/>
      <c r="X297" s="167"/>
      <c r="Y297" s="167"/>
      <c r="Z297" s="156"/>
      <c r="AA297" s="156"/>
    </row>
    <row r="298" spans="1:28" s="116" customFormat="1" ht="18" customHeight="1" x14ac:dyDescent="0.25">
      <c r="A298" s="64">
        <f>A293+1</f>
        <v>240</v>
      </c>
      <c r="B298" s="24" t="s">
        <v>498</v>
      </c>
      <c r="C298" s="147">
        <v>1964</v>
      </c>
      <c r="D298" s="64"/>
      <c r="E298" s="66">
        <v>3598.2</v>
      </c>
      <c r="F298" s="66">
        <f>2406.7+805.8</f>
        <v>3212.5</v>
      </c>
      <c r="G298" s="42">
        <f>H298+J298+K298+M298+O298+Q298+S298</f>
        <v>2049061</v>
      </c>
      <c r="H298" s="74">
        <f>F298*(360.93+276.91)</f>
        <v>2049061</v>
      </c>
      <c r="I298" s="35">
        <f>H298/F298</f>
        <v>637.84</v>
      </c>
      <c r="J298" s="35">
        <v>0</v>
      </c>
      <c r="K298" s="35">
        <v>0</v>
      </c>
      <c r="L298" s="35"/>
      <c r="M298" s="35">
        <v>0</v>
      </c>
      <c r="N298" s="35"/>
      <c r="O298" s="35">
        <v>0</v>
      </c>
      <c r="P298" s="35"/>
      <c r="Q298" s="35">
        <v>0</v>
      </c>
      <c r="R298" s="35"/>
      <c r="S298" s="35">
        <v>0</v>
      </c>
      <c r="T298" s="35">
        <v>0</v>
      </c>
      <c r="U298" s="35">
        <v>0</v>
      </c>
      <c r="V298" s="35">
        <f>H298-W298</f>
        <v>1295562.75</v>
      </c>
      <c r="W298" s="129">
        <v>753498.25</v>
      </c>
      <c r="X298" s="165">
        <v>2016</v>
      </c>
      <c r="Y298" s="165">
        <v>2016</v>
      </c>
      <c r="Z298" s="156">
        <f>Z293+1</f>
        <v>128</v>
      </c>
      <c r="AA298" s="156"/>
    </row>
    <row r="299" spans="1:28" s="116" customFormat="1" ht="18" customHeight="1" x14ac:dyDescent="0.25">
      <c r="A299" s="64">
        <f>A298+1</f>
        <v>241</v>
      </c>
      <c r="B299" s="24" t="s">
        <v>499</v>
      </c>
      <c r="C299" s="147">
        <v>1968</v>
      </c>
      <c r="D299" s="64"/>
      <c r="E299" s="66">
        <v>5939.7</v>
      </c>
      <c r="F299" s="66">
        <f>4709.2+725.7</f>
        <v>5434.9</v>
      </c>
      <c r="G299" s="42">
        <f>H299+J299+K299+M299+O299+Q299+S299</f>
        <v>3466596.6159999999</v>
      </c>
      <c r="H299" s="74">
        <f>F299*(360.93+276.91)</f>
        <v>3466596.6159999999</v>
      </c>
      <c r="I299" s="35">
        <f>H299/F299</f>
        <v>637.84</v>
      </c>
      <c r="J299" s="35">
        <v>0</v>
      </c>
      <c r="K299" s="35">
        <v>0</v>
      </c>
      <c r="L299" s="35"/>
      <c r="M299" s="35">
        <v>0</v>
      </c>
      <c r="N299" s="35"/>
      <c r="O299" s="35">
        <v>0</v>
      </c>
      <c r="P299" s="35"/>
      <c r="Q299" s="35">
        <v>0</v>
      </c>
      <c r="R299" s="35"/>
      <c r="S299" s="35">
        <v>0</v>
      </c>
      <c r="T299" s="35">
        <v>0</v>
      </c>
      <c r="U299" s="35">
        <v>0</v>
      </c>
      <c r="V299" s="35">
        <f>H299-W299</f>
        <v>2191830.0259999996</v>
      </c>
      <c r="W299" s="129">
        <v>1274766.5900000001</v>
      </c>
      <c r="X299" s="165">
        <v>2016</v>
      </c>
      <c r="Y299" s="165">
        <v>2016</v>
      </c>
      <c r="Z299" s="156">
        <f>Z298+1</f>
        <v>129</v>
      </c>
      <c r="AA299" s="156"/>
    </row>
    <row r="300" spans="1:28" s="116" customFormat="1" ht="19.5" customHeight="1" x14ac:dyDescent="0.25">
      <c r="A300" s="183" t="s">
        <v>173</v>
      </c>
      <c r="B300" s="183"/>
      <c r="C300" s="142"/>
      <c r="D300" s="165"/>
      <c r="E300" s="28">
        <v>0</v>
      </c>
      <c r="F300" s="28">
        <v>0</v>
      </c>
      <c r="G300" s="19">
        <v>0</v>
      </c>
      <c r="H300" s="28">
        <v>0</v>
      </c>
      <c r="I300" s="28"/>
      <c r="J300" s="28">
        <v>0</v>
      </c>
      <c r="K300" s="28">
        <v>0</v>
      </c>
      <c r="L300" s="28"/>
      <c r="M300" s="28">
        <v>0</v>
      </c>
      <c r="N300" s="28"/>
      <c r="O300" s="28">
        <v>0</v>
      </c>
      <c r="P300" s="28"/>
      <c r="Q300" s="28">
        <v>0</v>
      </c>
      <c r="R300" s="28"/>
      <c r="S300" s="28">
        <v>0</v>
      </c>
      <c r="T300" s="28">
        <v>0</v>
      </c>
      <c r="U300" s="28">
        <v>0</v>
      </c>
      <c r="V300" s="28">
        <v>0</v>
      </c>
      <c r="W300" s="19">
        <v>0</v>
      </c>
      <c r="X300" s="20" t="s">
        <v>368</v>
      </c>
      <c r="Y300" s="20" t="s">
        <v>368</v>
      </c>
      <c r="Z300" s="156"/>
      <c r="AA300" s="156"/>
    </row>
    <row r="301" spans="1:28" s="116" customFormat="1" ht="19.5" customHeight="1" x14ac:dyDescent="0.25">
      <c r="A301" s="183" t="s">
        <v>171</v>
      </c>
      <c r="B301" s="183"/>
      <c r="C301" s="144"/>
      <c r="D301" s="167"/>
      <c r="E301" s="28">
        <v>0</v>
      </c>
      <c r="F301" s="28">
        <v>0</v>
      </c>
      <c r="G301" s="19">
        <v>0</v>
      </c>
      <c r="H301" s="28">
        <v>0</v>
      </c>
      <c r="I301" s="28"/>
      <c r="J301" s="28">
        <v>0</v>
      </c>
      <c r="K301" s="28">
        <v>0</v>
      </c>
      <c r="L301" s="28"/>
      <c r="M301" s="28">
        <v>0</v>
      </c>
      <c r="N301" s="28"/>
      <c r="O301" s="28">
        <v>0</v>
      </c>
      <c r="P301" s="28"/>
      <c r="Q301" s="28">
        <v>0</v>
      </c>
      <c r="R301" s="28"/>
      <c r="S301" s="28">
        <v>0</v>
      </c>
      <c r="T301" s="28">
        <v>0</v>
      </c>
      <c r="U301" s="28">
        <v>0</v>
      </c>
      <c r="V301" s="28">
        <v>0</v>
      </c>
      <c r="W301" s="19">
        <v>0</v>
      </c>
      <c r="X301" s="20" t="s">
        <v>368</v>
      </c>
      <c r="Y301" s="20" t="s">
        <v>368</v>
      </c>
      <c r="Z301" s="156"/>
      <c r="AA301" s="156"/>
    </row>
    <row r="302" spans="1:28" s="116" customFormat="1" ht="19.5" customHeight="1" x14ac:dyDescent="0.25">
      <c r="A302" s="183" t="s">
        <v>172</v>
      </c>
      <c r="B302" s="183"/>
      <c r="C302" s="146"/>
      <c r="D302" s="56"/>
      <c r="E302" s="29">
        <f>SUM(E298:E299)</f>
        <v>9537.9</v>
      </c>
      <c r="F302" s="29">
        <f>SUM(F298:F299)</f>
        <v>8647.4</v>
      </c>
      <c r="G302" s="19">
        <f t="shared" ref="G302:W302" si="83">SUM(G298:G299)</f>
        <v>5515657.6160000004</v>
      </c>
      <c r="H302" s="28">
        <f t="shared" si="83"/>
        <v>5515657.6160000004</v>
      </c>
      <c r="I302" s="28"/>
      <c r="J302" s="28">
        <f t="shared" si="83"/>
        <v>0</v>
      </c>
      <c r="K302" s="28">
        <f t="shared" si="83"/>
        <v>0</v>
      </c>
      <c r="L302" s="28"/>
      <c r="M302" s="28">
        <f t="shared" si="83"/>
        <v>0</v>
      </c>
      <c r="N302" s="28"/>
      <c r="O302" s="28">
        <f t="shared" si="83"/>
        <v>0</v>
      </c>
      <c r="P302" s="28"/>
      <c r="Q302" s="28">
        <f t="shared" si="83"/>
        <v>0</v>
      </c>
      <c r="R302" s="28"/>
      <c r="S302" s="28">
        <f t="shared" si="83"/>
        <v>0</v>
      </c>
      <c r="T302" s="28">
        <f t="shared" si="83"/>
        <v>0</v>
      </c>
      <c r="U302" s="28">
        <f t="shared" si="83"/>
        <v>0</v>
      </c>
      <c r="V302" s="28">
        <f t="shared" si="83"/>
        <v>3487392.7759999996</v>
      </c>
      <c r="W302" s="19">
        <f t="shared" si="83"/>
        <v>2028264.84</v>
      </c>
      <c r="X302" s="20" t="s">
        <v>368</v>
      </c>
      <c r="Y302" s="20" t="s">
        <v>368</v>
      </c>
      <c r="Z302" s="156"/>
      <c r="AA302" s="156"/>
      <c r="AB302" s="157">
        <f>T302+V302+W302</f>
        <v>5515657.6159999995</v>
      </c>
    </row>
    <row r="303" spans="1:28" s="116" customFormat="1" ht="17.25" customHeight="1" x14ac:dyDescent="0.25">
      <c r="A303" s="182" t="s">
        <v>102</v>
      </c>
      <c r="B303" s="182"/>
      <c r="C303" s="182"/>
      <c r="D303" s="182"/>
      <c r="E303" s="182"/>
      <c r="F303" s="182"/>
      <c r="G303" s="182"/>
      <c r="H303" s="182"/>
      <c r="I303" s="182"/>
      <c r="J303" s="182"/>
      <c r="K303" s="182"/>
      <c r="L303" s="182"/>
      <c r="M303" s="182"/>
      <c r="N303" s="182"/>
      <c r="O303" s="182"/>
      <c r="P303" s="182"/>
      <c r="Q303" s="182"/>
      <c r="R303" s="182"/>
      <c r="S303" s="182"/>
      <c r="T303" s="182"/>
      <c r="U303" s="182"/>
      <c r="V303" s="182"/>
      <c r="W303" s="182"/>
      <c r="X303" s="167"/>
      <c r="Y303" s="167"/>
      <c r="Z303" s="156"/>
      <c r="AA303" s="155"/>
    </row>
    <row r="304" spans="1:28" s="118" customFormat="1" ht="18" customHeight="1" x14ac:dyDescent="0.25">
      <c r="A304" s="165">
        <f>A299+1</f>
        <v>242</v>
      </c>
      <c r="B304" s="24" t="s">
        <v>111</v>
      </c>
      <c r="C304" s="142" t="s">
        <v>60</v>
      </c>
      <c r="D304" s="165"/>
      <c r="E304" s="45">
        <v>3571.4</v>
      </c>
      <c r="F304" s="45">
        <v>2148.1999999999998</v>
      </c>
      <c r="G304" s="42">
        <f t="shared" ref="G304:G336" si="84">SUM(H304:S304)</f>
        <v>181728.83</v>
      </c>
      <c r="H304" s="35">
        <v>181728.83</v>
      </c>
      <c r="I304" s="35"/>
      <c r="J304" s="35">
        <v>0</v>
      </c>
      <c r="K304" s="35">
        <v>0</v>
      </c>
      <c r="L304" s="35"/>
      <c r="M304" s="35">
        <v>0</v>
      </c>
      <c r="N304" s="35"/>
      <c r="O304" s="35">
        <v>0</v>
      </c>
      <c r="P304" s="35"/>
      <c r="Q304" s="35">
        <v>0</v>
      </c>
      <c r="R304" s="35"/>
      <c r="S304" s="35">
        <v>0</v>
      </c>
      <c r="T304" s="35">
        <v>0</v>
      </c>
      <c r="U304" s="35">
        <v>0</v>
      </c>
      <c r="V304" s="35">
        <f t="shared" ref="V304:V334" si="85">G304</f>
        <v>181728.83</v>
      </c>
      <c r="W304" s="42">
        <v>0</v>
      </c>
      <c r="X304" s="165">
        <v>2014</v>
      </c>
      <c r="Y304" s="165">
        <v>2014</v>
      </c>
      <c r="Z304" s="155"/>
      <c r="AA304" s="155"/>
    </row>
    <row r="305" spans="1:27" s="118" customFormat="1" ht="18" customHeight="1" x14ac:dyDescent="0.25">
      <c r="A305" s="165">
        <f>A304+1</f>
        <v>243</v>
      </c>
      <c r="B305" s="24" t="s">
        <v>95</v>
      </c>
      <c r="C305" s="142" t="s">
        <v>20</v>
      </c>
      <c r="D305" s="165"/>
      <c r="E305" s="45">
        <v>3287.6</v>
      </c>
      <c r="F305" s="45">
        <v>2283.6</v>
      </c>
      <c r="G305" s="42">
        <f t="shared" si="84"/>
        <v>363144.47</v>
      </c>
      <c r="H305" s="35">
        <v>363144.47</v>
      </c>
      <c r="I305" s="35"/>
      <c r="J305" s="35">
        <v>0</v>
      </c>
      <c r="K305" s="35">
        <v>0</v>
      </c>
      <c r="L305" s="35"/>
      <c r="M305" s="35">
        <v>0</v>
      </c>
      <c r="N305" s="35"/>
      <c r="O305" s="35">
        <v>0</v>
      </c>
      <c r="P305" s="35"/>
      <c r="Q305" s="35">
        <v>0</v>
      </c>
      <c r="R305" s="35"/>
      <c r="S305" s="35">
        <v>0</v>
      </c>
      <c r="T305" s="35">
        <v>0</v>
      </c>
      <c r="U305" s="35">
        <v>0</v>
      </c>
      <c r="V305" s="35">
        <f t="shared" si="85"/>
        <v>363144.47</v>
      </c>
      <c r="W305" s="42">
        <v>0</v>
      </c>
      <c r="X305" s="165">
        <v>2014</v>
      </c>
      <c r="Y305" s="165">
        <v>2014</v>
      </c>
      <c r="Z305" s="155"/>
      <c r="AA305" s="155"/>
    </row>
    <row r="306" spans="1:27" s="118" customFormat="1" ht="18" customHeight="1" x14ac:dyDescent="0.25">
      <c r="A306" s="165">
        <f t="shared" ref="A306:A346" si="86">A305+1</f>
        <v>244</v>
      </c>
      <c r="B306" s="24" t="s">
        <v>96</v>
      </c>
      <c r="C306" s="142" t="s">
        <v>19</v>
      </c>
      <c r="D306" s="165"/>
      <c r="E306" s="45">
        <v>1279.2</v>
      </c>
      <c r="F306" s="45">
        <v>828.8</v>
      </c>
      <c r="G306" s="42">
        <f t="shared" si="84"/>
        <v>692052.99</v>
      </c>
      <c r="H306" s="35">
        <v>692052.99</v>
      </c>
      <c r="I306" s="35"/>
      <c r="J306" s="35">
        <v>0</v>
      </c>
      <c r="K306" s="35">
        <v>0</v>
      </c>
      <c r="L306" s="35"/>
      <c r="M306" s="35">
        <v>0</v>
      </c>
      <c r="N306" s="35"/>
      <c r="O306" s="35">
        <v>0</v>
      </c>
      <c r="P306" s="35"/>
      <c r="Q306" s="35">
        <v>0</v>
      </c>
      <c r="R306" s="35"/>
      <c r="S306" s="35">
        <v>0</v>
      </c>
      <c r="T306" s="35">
        <v>0</v>
      </c>
      <c r="U306" s="35">
        <v>0</v>
      </c>
      <c r="V306" s="35">
        <f t="shared" si="85"/>
        <v>692052.99</v>
      </c>
      <c r="W306" s="42">
        <v>0</v>
      </c>
      <c r="X306" s="165">
        <v>2014</v>
      </c>
      <c r="Y306" s="165">
        <v>2014</v>
      </c>
      <c r="Z306" s="155"/>
      <c r="AA306" s="155"/>
    </row>
    <row r="307" spans="1:27" s="118" customFormat="1" ht="18" customHeight="1" x14ac:dyDescent="0.25">
      <c r="A307" s="165">
        <f t="shared" si="86"/>
        <v>245</v>
      </c>
      <c r="B307" s="24" t="s">
        <v>405</v>
      </c>
      <c r="C307" s="142">
        <v>1984</v>
      </c>
      <c r="D307" s="165"/>
      <c r="E307" s="45">
        <v>3923.9</v>
      </c>
      <c r="F307" s="45">
        <v>3354</v>
      </c>
      <c r="G307" s="42">
        <f t="shared" si="84"/>
        <v>146407.96</v>
      </c>
      <c r="H307" s="35">
        <v>146407.96</v>
      </c>
      <c r="I307" s="35"/>
      <c r="J307" s="35">
        <v>0</v>
      </c>
      <c r="K307" s="35">
        <v>0</v>
      </c>
      <c r="L307" s="35"/>
      <c r="M307" s="35">
        <v>0</v>
      </c>
      <c r="N307" s="35"/>
      <c r="O307" s="35">
        <v>0</v>
      </c>
      <c r="P307" s="35"/>
      <c r="Q307" s="35">
        <v>0</v>
      </c>
      <c r="R307" s="35"/>
      <c r="S307" s="35">
        <v>0</v>
      </c>
      <c r="T307" s="35">
        <v>0</v>
      </c>
      <c r="U307" s="35">
        <v>0</v>
      </c>
      <c r="V307" s="35">
        <f t="shared" si="85"/>
        <v>146407.96</v>
      </c>
      <c r="W307" s="42">
        <v>0</v>
      </c>
      <c r="X307" s="165">
        <v>2014</v>
      </c>
      <c r="Y307" s="165">
        <v>2014</v>
      </c>
      <c r="Z307" s="155"/>
      <c r="AA307" s="155"/>
    </row>
    <row r="308" spans="1:27" s="118" customFormat="1" ht="18" customHeight="1" x14ac:dyDescent="0.25">
      <c r="A308" s="165">
        <f t="shared" si="86"/>
        <v>246</v>
      </c>
      <c r="B308" s="24" t="s">
        <v>404</v>
      </c>
      <c r="C308" s="142">
        <v>1982</v>
      </c>
      <c r="D308" s="165"/>
      <c r="E308" s="45">
        <v>2657.6</v>
      </c>
      <c r="F308" s="45">
        <v>2272.4</v>
      </c>
      <c r="G308" s="42">
        <f t="shared" si="84"/>
        <v>763364</v>
      </c>
      <c r="H308" s="35">
        <v>763364</v>
      </c>
      <c r="I308" s="35"/>
      <c r="J308" s="35">
        <v>0</v>
      </c>
      <c r="K308" s="35">
        <v>0</v>
      </c>
      <c r="L308" s="35"/>
      <c r="M308" s="35">
        <v>0</v>
      </c>
      <c r="N308" s="35"/>
      <c r="O308" s="35">
        <v>0</v>
      </c>
      <c r="P308" s="35"/>
      <c r="Q308" s="35">
        <v>0</v>
      </c>
      <c r="R308" s="35"/>
      <c r="S308" s="35">
        <v>0</v>
      </c>
      <c r="T308" s="35">
        <v>0</v>
      </c>
      <c r="U308" s="35">
        <v>0</v>
      </c>
      <c r="V308" s="35">
        <f t="shared" si="85"/>
        <v>763364</v>
      </c>
      <c r="W308" s="42">
        <v>0</v>
      </c>
      <c r="X308" s="165">
        <v>2014</v>
      </c>
      <c r="Y308" s="165">
        <v>2014</v>
      </c>
      <c r="Z308" s="155"/>
      <c r="AA308" s="155"/>
    </row>
    <row r="309" spans="1:27" s="118" customFormat="1" ht="18" customHeight="1" x14ac:dyDescent="0.25">
      <c r="A309" s="165">
        <f t="shared" si="86"/>
        <v>247</v>
      </c>
      <c r="B309" s="24" t="s">
        <v>107</v>
      </c>
      <c r="C309" s="142">
        <v>1993</v>
      </c>
      <c r="D309" s="165"/>
      <c r="E309" s="45">
        <v>4107.5</v>
      </c>
      <c r="F309" s="45">
        <v>2403.1999999999998</v>
      </c>
      <c r="G309" s="42">
        <f t="shared" si="84"/>
        <v>150561.44</v>
      </c>
      <c r="H309" s="35">
        <v>150561.44</v>
      </c>
      <c r="I309" s="35"/>
      <c r="J309" s="35">
        <v>0</v>
      </c>
      <c r="K309" s="35">
        <v>0</v>
      </c>
      <c r="L309" s="35"/>
      <c r="M309" s="35">
        <v>0</v>
      </c>
      <c r="N309" s="35"/>
      <c r="O309" s="35">
        <v>0</v>
      </c>
      <c r="P309" s="35"/>
      <c r="Q309" s="35">
        <v>0</v>
      </c>
      <c r="R309" s="35"/>
      <c r="S309" s="35">
        <v>0</v>
      </c>
      <c r="T309" s="35">
        <v>0</v>
      </c>
      <c r="U309" s="35">
        <v>0</v>
      </c>
      <c r="V309" s="35">
        <f t="shared" si="85"/>
        <v>150561.44</v>
      </c>
      <c r="W309" s="42">
        <v>0</v>
      </c>
      <c r="X309" s="165">
        <v>2014</v>
      </c>
      <c r="Y309" s="165">
        <v>2014</v>
      </c>
      <c r="Z309" s="155"/>
      <c r="AA309" s="155"/>
    </row>
    <row r="310" spans="1:27" s="118" customFormat="1" ht="18" customHeight="1" x14ac:dyDescent="0.25">
      <c r="A310" s="165">
        <f t="shared" si="86"/>
        <v>248</v>
      </c>
      <c r="B310" s="24" t="s">
        <v>108</v>
      </c>
      <c r="C310" s="142" t="s">
        <v>54</v>
      </c>
      <c r="D310" s="165"/>
      <c r="E310" s="45">
        <v>3099.3</v>
      </c>
      <c r="F310" s="45">
        <v>1685.6</v>
      </c>
      <c r="G310" s="42">
        <f t="shared" si="84"/>
        <v>177504.39</v>
      </c>
      <c r="H310" s="35">
        <v>177504.39</v>
      </c>
      <c r="I310" s="35"/>
      <c r="J310" s="35">
        <v>0</v>
      </c>
      <c r="K310" s="35">
        <v>0</v>
      </c>
      <c r="L310" s="35"/>
      <c r="M310" s="35">
        <v>0</v>
      </c>
      <c r="N310" s="35"/>
      <c r="O310" s="35">
        <v>0</v>
      </c>
      <c r="P310" s="35"/>
      <c r="Q310" s="35">
        <v>0</v>
      </c>
      <c r="R310" s="35"/>
      <c r="S310" s="35">
        <v>0</v>
      </c>
      <c r="T310" s="35">
        <v>0</v>
      </c>
      <c r="U310" s="35">
        <v>0</v>
      </c>
      <c r="V310" s="35">
        <f t="shared" si="85"/>
        <v>177504.39</v>
      </c>
      <c r="W310" s="42">
        <v>0</v>
      </c>
      <c r="X310" s="165">
        <v>2014</v>
      </c>
      <c r="Y310" s="165">
        <v>2014</v>
      </c>
      <c r="Z310" s="155"/>
      <c r="AA310" s="155"/>
    </row>
    <row r="311" spans="1:27" s="118" customFormat="1" ht="18" customHeight="1" x14ac:dyDescent="0.25">
      <c r="A311" s="165">
        <f t="shared" si="86"/>
        <v>249</v>
      </c>
      <c r="B311" s="24" t="s">
        <v>109</v>
      </c>
      <c r="C311" s="142">
        <v>1982</v>
      </c>
      <c r="D311" s="165"/>
      <c r="E311" s="45">
        <v>4951</v>
      </c>
      <c r="F311" s="45">
        <v>3421</v>
      </c>
      <c r="G311" s="42">
        <f t="shared" si="84"/>
        <v>159141.85</v>
      </c>
      <c r="H311" s="35">
        <v>159141.85</v>
      </c>
      <c r="I311" s="35"/>
      <c r="J311" s="35">
        <v>0</v>
      </c>
      <c r="K311" s="35">
        <v>0</v>
      </c>
      <c r="L311" s="35"/>
      <c r="M311" s="35">
        <v>0</v>
      </c>
      <c r="N311" s="35"/>
      <c r="O311" s="35">
        <v>0</v>
      </c>
      <c r="P311" s="35"/>
      <c r="Q311" s="35">
        <v>0</v>
      </c>
      <c r="R311" s="35"/>
      <c r="S311" s="35">
        <v>0</v>
      </c>
      <c r="T311" s="35">
        <v>0</v>
      </c>
      <c r="U311" s="35">
        <v>0</v>
      </c>
      <c r="V311" s="35">
        <f t="shared" si="85"/>
        <v>159141.85</v>
      </c>
      <c r="W311" s="42">
        <v>0</v>
      </c>
      <c r="X311" s="165">
        <v>2014</v>
      </c>
      <c r="Y311" s="165">
        <v>2014</v>
      </c>
      <c r="Z311" s="155"/>
      <c r="AA311" s="155"/>
    </row>
    <row r="312" spans="1:27" s="118" customFormat="1" ht="18" customHeight="1" x14ac:dyDescent="0.25">
      <c r="A312" s="165">
        <f t="shared" si="86"/>
        <v>250</v>
      </c>
      <c r="B312" s="24" t="s">
        <v>110</v>
      </c>
      <c r="C312" s="142" t="s">
        <v>21</v>
      </c>
      <c r="D312" s="165"/>
      <c r="E312" s="45">
        <v>9301.9</v>
      </c>
      <c r="F312" s="45">
        <v>6256</v>
      </c>
      <c r="G312" s="42">
        <f t="shared" si="84"/>
        <v>155790.35</v>
      </c>
      <c r="H312" s="35">
        <v>155790.35</v>
      </c>
      <c r="I312" s="35"/>
      <c r="J312" s="35">
        <v>0</v>
      </c>
      <c r="K312" s="35">
        <v>0</v>
      </c>
      <c r="L312" s="35"/>
      <c r="M312" s="35">
        <v>0</v>
      </c>
      <c r="N312" s="35"/>
      <c r="O312" s="35">
        <v>0</v>
      </c>
      <c r="P312" s="35"/>
      <c r="Q312" s="35">
        <v>0</v>
      </c>
      <c r="R312" s="35"/>
      <c r="S312" s="35">
        <v>0</v>
      </c>
      <c r="T312" s="35">
        <v>0</v>
      </c>
      <c r="U312" s="35">
        <v>0</v>
      </c>
      <c r="V312" s="35">
        <f t="shared" si="85"/>
        <v>155790.35</v>
      </c>
      <c r="W312" s="42">
        <v>0</v>
      </c>
      <c r="X312" s="165">
        <v>2014</v>
      </c>
      <c r="Y312" s="165">
        <v>2014</v>
      </c>
      <c r="Z312" s="155"/>
      <c r="AA312" s="155"/>
    </row>
    <row r="313" spans="1:27" s="118" customFormat="1" ht="18" customHeight="1" x14ac:dyDescent="0.25">
      <c r="A313" s="165">
        <f t="shared" si="86"/>
        <v>251</v>
      </c>
      <c r="B313" s="24" t="s">
        <v>94</v>
      </c>
      <c r="C313" s="142">
        <v>1957</v>
      </c>
      <c r="D313" s="165"/>
      <c r="E313" s="45">
        <v>6239.7</v>
      </c>
      <c r="F313" s="45">
        <v>4345.7</v>
      </c>
      <c r="G313" s="42">
        <f t="shared" si="84"/>
        <v>828372.84</v>
      </c>
      <c r="H313" s="35">
        <v>828372.84</v>
      </c>
      <c r="I313" s="35"/>
      <c r="J313" s="35">
        <v>0</v>
      </c>
      <c r="K313" s="35">
        <v>0</v>
      </c>
      <c r="L313" s="35"/>
      <c r="M313" s="35">
        <v>0</v>
      </c>
      <c r="N313" s="35"/>
      <c r="O313" s="35">
        <v>0</v>
      </c>
      <c r="P313" s="35"/>
      <c r="Q313" s="35">
        <v>0</v>
      </c>
      <c r="R313" s="35"/>
      <c r="S313" s="35">
        <v>0</v>
      </c>
      <c r="T313" s="35">
        <v>0</v>
      </c>
      <c r="U313" s="35">
        <v>0</v>
      </c>
      <c r="V313" s="35">
        <f t="shared" si="85"/>
        <v>828372.84</v>
      </c>
      <c r="W313" s="42">
        <v>0</v>
      </c>
      <c r="X313" s="165">
        <v>2014</v>
      </c>
      <c r="Y313" s="165">
        <v>2014</v>
      </c>
      <c r="Z313" s="155"/>
      <c r="AA313" s="155"/>
    </row>
    <row r="314" spans="1:27" s="118" customFormat="1" ht="18" customHeight="1" x14ac:dyDescent="0.25">
      <c r="A314" s="165">
        <f t="shared" si="86"/>
        <v>252</v>
      </c>
      <c r="B314" s="24" t="s">
        <v>114</v>
      </c>
      <c r="C314" s="142">
        <v>1994</v>
      </c>
      <c r="D314" s="165"/>
      <c r="E314" s="45">
        <v>5187.3</v>
      </c>
      <c r="F314" s="45">
        <v>3694</v>
      </c>
      <c r="G314" s="42">
        <f t="shared" si="84"/>
        <v>215417.21</v>
      </c>
      <c r="H314" s="35">
        <v>215417.21</v>
      </c>
      <c r="I314" s="35"/>
      <c r="J314" s="35">
        <v>0</v>
      </c>
      <c r="K314" s="35">
        <v>0</v>
      </c>
      <c r="L314" s="35"/>
      <c r="M314" s="35">
        <v>0</v>
      </c>
      <c r="N314" s="35"/>
      <c r="O314" s="35">
        <v>0</v>
      </c>
      <c r="P314" s="35"/>
      <c r="Q314" s="35">
        <v>0</v>
      </c>
      <c r="R314" s="35"/>
      <c r="S314" s="35">
        <v>0</v>
      </c>
      <c r="T314" s="35">
        <v>0</v>
      </c>
      <c r="U314" s="35">
        <v>0</v>
      </c>
      <c r="V314" s="35">
        <f t="shared" si="85"/>
        <v>215417.21</v>
      </c>
      <c r="W314" s="42">
        <v>0</v>
      </c>
      <c r="X314" s="165">
        <v>2014</v>
      </c>
      <c r="Y314" s="165">
        <v>2014</v>
      </c>
      <c r="Z314" s="155"/>
      <c r="AA314" s="155"/>
    </row>
    <row r="315" spans="1:27" s="118" customFormat="1" ht="18" customHeight="1" x14ac:dyDescent="0.25">
      <c r="A315" s="165">
        <f t="shared" si="86"/>
        <v>253</v>
      </c>
      <c r="B315" s="24" t="s">
        <v>112</v>
      </c>
      <c r="C315" s="142">
        <v>1972</v>
      </c>
      <c r="D315" s="165"/>
      <c r="E315" s="45">
        <v>3852.1</v>
      </c>
      <c r="F315" s="45">
        <v>3091.6</v>
      </c>
      <c r="G315" s="42">
        <f t="shared" si="84"/>
        <v>280410.7</v>
      </c>
      <c r="H315" s="35">
        <v>280410.7</v>
      </c>
      <c r="I315" s="35"/>
      <c r="J315" s="35">
        <v>0</v>
      </c>
      <c r="K315" s="35">
        <v>0</v>
      </c>
      <c r="L315" s="35"/>
      <c r="M315" s="35">
        <v>0</v>
      </c>
      <c r="N315" s="35"/>
      <c r="O315" s="35">
        <v>0</v>
      </c>
      <c r="P315" s="35"/>
      <c r="Q315" s="35">
        <v>0</v>
      </c>
      <c r="R315" s="35"/>
      <c r="S315" s="35">
        <v>0</v>
      </c>
      <c r="T315" s="35">
        <v>0</v>
      </c>
      <c r="U315" s="35">
        <v>0</v>
      </c>
      <c r="V315" s="35">
        <f t="shared" si="85"/>
        <v>280410.7</v>
      </c>
      <c r="W315" s="42">
        <v>0</v>
      </c>
      <c r="X315" s="165">
        <v>2014</v>
      </c>
      <c r="Y315" s="165">
        <v>2014</v>
      </c>
      <c r="Z315" s="155"/>
      <c r="AA315" s="155"/>
    </row>
    <row r="316" spans="1:27" s="118" customFormat="1" ht="18" customHeight="1" x14ac:dyDescent="0.25">
      <c r="A316" s="165">
        <f t="shared" si="86"/>
        <v>254</v>
      </c>
      <c r="B316" s="24" t="s">
        <v>62</v>
      </c>
      <c r="C316" s="142" t="s">
        <v>24</v>
      </c>
      <c r="D316" s="165"/>
      <c r="E316" s="45">
        <v>4398</v>
      </c>
      <c r="F316" s="45">
        <v>3733.1</v>
      </c>
      <c r="G316" s="42">
        <f t="shared" si="84"/>
        <v>1359452.07</v>
      </c>
      <c r="H316" s="35">
        <v>0</v>
      </c>
      <c r="I316" s="35"/>
      <c r="J316" s="35">
        <v>1359452.07</v>
      </c>
      <c r="K316" s="35">
        <v>0</v>
      </c>
      <c r="L316" s="35"/>
      <c r="M316" s="35">
        <v>0</v>
      </c>
      <c r="N316" s="35"/>
      <c r="O316" s="35">
        <v>0</v>
      </c>
      <c r="P316" s="35"/>
      <c r="Q316" s="35">
        <v>0</v>
      </c>
      <c r="R316" s="35"/>
      <c r="S316" s="35">
        <v>0</v>
      </c>
      <c r="T316" s="35">
        <v>0</v>
      </c>
      <c r="U316" s="35">
        <v>0</v>
      </c>
      <c r="V316" s="35">
        <f t="shared" si="85"/>
        <v>1359452.07</v>
      </c>
      <c r="W316" s="42">
        <v>0</v>
      </c>
      <c r="X316" s="165">
        <v>2014</v>
      </c>
      <c r="Y316" s="165">
        <v>2014</v>
      </c>
      <c r="Z316" s="155"/>
      <c r="AA316" s="155"/>
    </row>
    <row r="317" spans="1:27" s="118" customFormat="1" ht="18" customHeight="1" x14ac:dyDescent="0.25">
      <c r="A317" s="165">
        <f t="shared" si="86"/>
        <v>255</v>
      </c>
      <c r="B317" s="24" t="s">
        <v>59</v>
      </c>
      <c r="C317" s="142">
        <v>1968</v>
      </c>
      <c r="D317" s="165"/>
      <c r="E317" s="45">
        <v>8260.7999999999993</v>
      </c>
      <c r="F317" s="45">
        <v>5654.3</v>
      </c>
      <c r="G317" s="42">
        <f t="shared" si="84"/>
        <v>982579.97</v>
      </c>
      <c r="H317" s="35">
        <v>982579.97</v>
      </c>
      <c r="I317" s="35"/>
      <c r="J317" s="35">
        <v>0</v>
      </c>
      <c r="K317" s="35">
        <v>0</v>
      </c>
      <c r="L317" s="35"/>
      <c r="M317" s="35">
        <v>0</v>
      </c>
      <c r="N317" s="35"/>
      <c r="O317" s="35">
        <v>0</v>
      </c>
      <c r="P317" s="35"/>
      <c r="Q317" s="35">
        <v>0</v>
      </c>
      <c r="R317" s="35"/>
      <c r="S317" s="35">
        <v>0</v>
      </c>
      <c r="T317" s="35">
        <v>0</v>
      </c>
      <c r="U317" s="35">
        <v>0</v>
      </c>
      <c r="V317" s="35">
        <f t="shared" si="85"/>
        <v>982579.97</v>
      </c>
      <c r="W317" s="42">
        <v>0</v>
      </c>
      <c r="X317" s="165">
        <v>2014</v>
      </c>
      <c r="Y317" s="165">
        <v>2014</v>
      </c>
      <c r="Z317" s="155"/>
      <c r="AA317" s="155"/>
    </row>
    <row r="318" spans="1:27" s="118" customFormat="1" ht="18" customHeight="1" x14ac:dyDescent="0.25">
      <c r="A318" s="165">
        <f t="shared" si="86"/>
        <v>256</v>
      </c>
      <c r="B318" s="24" t="s">
        <v>63</v>
      </c>
      <c r="C318" s="142">
        <v>1975</v>
      </c>
      <c r="D318" s="165"/>
      <c r="E318" s="45">
        <v>4488.5</v>
      </c>
      <c r="F318" s="45">
        <v>3919.4</v>
      </c>
      <c r="G318" s="42">
        <f t="shared" si="84"/>
        <v>3619578.79</v>
      </c>
      <c r="H318" s="35">
        <v>0</v>
      </c>
      <c r="I318" s="35"/>
      <c r="J318" s="35">
        <v>0</v>
      </c>
      <c r="K318" s="35">
        <v>0</v>
      </c>
      <c r="L318" s="35"/>
      <c r="M318" s="35">
        <v>0</v>
      </c>
      <c r="N318" s="35"/>
      <c r="O318" s="35">
        <v>3619578.79</v>
      </c>
      <c r="P318" s="35"/>
      <c r="Q318" s="35">
        <v>0</v>
      </c>
      <c r="R318" s="35"/>
      <c r="S318" s="35">
        <v>0</v>
      </c>
      <c r="T318" s="35">
        <v>0</v>
      </c>
      <c r="U318" s="35">
        <v>0</v>
      </c>
      <c r="V318" s="35">
        <f t="shared" si="85"/>
        <v>3619578.79</v>
      </c>
      <c r="W318" s="42">
        <v>0</v>
      </c>
      <c r="X318" s="165">
        <v>2014</v>
      </c>
      <c r="Y318" s="165">
        <v>2014</v>
      </c>
      <c r="Z318" s="155"/>
      <c r="AA318" s="155"/>
    </row>
    <row r="319" spans="1:27" s="118" customFormat="1" ht="18" customHeight="1" x14ac:dyDescent="0.25">
      <c r="A319" s="165">
        <f t="shared" si="86"/>
        <v>257</v>
      </c>
      <c r="B319" s="24" t="s">
        <v>64</v>
      </c>
      <c r="C319" s="142">
        <v>1976</v>
      </c>
      <c r="D319" s="165"/>
      <c r="E319" s="45">
        <v>4695.1000000000004</v>
      </c>
      <c r="F319" s="45">
        <v>4130.1000000000004</v>
      </c>
      <c r="G319" s="42">
        <f t="shared" si="84"/>
        <v>3556908.3</v>
      </c>
      <c r="H319" s="35">
        <v>0</v>
      </c>
      <c r="I319" s="35"/>
      <c r="J319" s="35">
        <v>0</v>
      </c>
      <c r="K319" s="35">
        <v>0</v>
      </c>
      <c r="L319" s="35"/>
      <c r="M319" s="35">
        <v>0</v>
      </c>
      <c r="N319" s="35"/>
      <c r="O319" s="35">
        <v>3556908.3</v>
      </c>
      <c r="P319" s="35"/>
      <c r="Q319" s="35">
        <v>0</v>
      </c>
      <c r="R319" s="35"/>
      <c r="S319" s="35">
        <v>0</v>
      </c>
      <c r="T319" s="35">
        <v>0</v>
      </c>
      <c r="U319" s="35">
        <v>0</v>
      </c>
      <c r="V319" s="35">
        <f t="shared" si="85"/>
        <v>3556908.3</v>
      </c>
      <c r="W319" s="42">
        <v>0</v>
      </c>
      <c r="X319" s="165">
        <v>2014</v>
      </c>
      <c r="Y319" s="165">
        <v>2014</v>
      </c>
      <c r="Z319" s="155"/>
      <c r="AA319" s="155"/>
    </row>
    <row r="320" spans="1:27" s="118" customFormat="1" ht="18" customHeight="1" x14ac:dyDescent="0.25">
      <c r="A320" s="165">
        <f t="shared" si="86"/>
        <v>258</v>
      </c>
      <c r="B320" s="24" t="s">
        <v>61</v>
      </c>
      <c r="C320" s="142">
        <v>1977</v>
      </c>
      <c r="D320" s="165"/>
      <c r="E320" s="45">
        <v>3157.5</v>
      </c>
      <c r="F320" s="45">
        <v>2746.2</v>
      </c>
      <c r="G320" s="42">
        <f t="shared" si="84"/>
        <v>162534.82</v>
      </c>
      <c r="H320" s="35">
        <v>162534.82</v>
      </c>
      <c r="I320" s="35"/>
      <c r="J320" s="35">
        <v>0</v>
      </c>
      <c r="K320" s="35">
        <v>0</v>
      </c>
      <c r="L320" s="35"/>
      <c r="M320" s="35">
        <v>0</v>
      </c>
      <c r="N320" s="35"/>
      <c r="O320" s="35">
        <v>0</v>
      </c>
      <c r="P320" s="35"/>
      <c r="Q320" s="35">
        <v>0</v>
      </c>
      <c r="R320" s="35"/>
      <c r="S320" s="35">
        <v>0</v>
      </c>
      <c r="T320" s="35">
        <v>0</v>
      </c>
      <c r="U320" s="35">
        <v>0</v>
      </c>
      <c r="V320" s="35">
        <f t="shared" si="85"/>
        <v>162534.82</v>
      </c>
      <c r="W320" s="42">
        <v>0</v>
      </c>
      <c r="X320" s="165">
        <v>2014</v>
      </c>
      <c r="Y320" s="165">
        <v>2014</v>
      </c>
      <c r="Z320" s="155"/>
      <c r="AA320" s="155"/>
    </row>
    <row r="321" spans="1:27" s="118" customFormat="1" ht="18" customHeight="1" x14ac:dyDescent="0.25">
      <c r="A321" s="165">
        <f t="shared" si="86"/>
        <v>259</v>
      </c>
      <c r="B321" s="24" t="s">
        <v>66</v>
      </c>
      <c r="C321" s="142">
        <v>1978</v>
      </c>
      <c r="D321" s="165"/>
      <c r="E321" s="45">
        <v>7589.3</v>
      </c>
      <c r="F321" s="45">
        <v>6024</v>
      </c>
      <c r="G321" s="42">
        <f t="shared" si="84"/>
        <v>7065028.7199999997</v>
      </c>
      <c r="H321" s="35">
        <v>0</v>
      </c>
      <c r="I321" s="35"/>
      <c r="J321" s="35">
        <v>7065028.7199999997</v>
      </c>
      <c r="K321" s="35">
        <v>0</v>
      </c>
      <c r="L321" s="35"/>
      <c r="M321" s="35">
        <v>0</v>
      </c>
      <c r="N321" s="35"/>
      <c r="O321" s="35">
        <v>0</v>
      </c>
      <c r="P321" s="35"/>
      <c r="Q321" s="35">
        <v>0</v>
      </c>
      <c r="R321" s="35"/>
      <c r="S321" s="35">
        <v>0</v>
      </c>
      <c r="T321" s="35">
        <v>0</v>
      </c>
      <c r="U321" s="35">
        <v>0</v>
      </c>
      <c r="V321" s="35">
        <f t="shared" si="85"/>
        <v>7065028.7199999997</v>
      </c>
      <c r="W321" s="42">
        <v>0</v>
      </c>
      <c r="X321" s="165">
        <v>2014</v>
      </c>
      <c r="Y321" s="165">
        <v>2014</v>
      </c>
      <c r="Z321" s="155"/>
      <c r="AA321" s="155"/>
    </row>
    <row r="322" spans="1:27" s="118" customFormat="1" ht="18" customHeight="1" x14ac:dyDescent="0.25">
      <c r="A322" s="165">
        <f t="shared" si="86"/>
        <v>260</v>
      </c>
      <c r="B322" s="24" t="s">
        <v>67</v>
      </c>
      <c r="C322" s="142">
        <v>1978</v>
      </c>
      <c r="D322" s="165"/>
      <c r="E322" s="45">
        <v>7999.1</v>
      </c>
      <c r="F322" s="45">
        <v>6966.9</v>
      </c>
      <c r="G322" s="42">
        <f t="shared" si="84"/>
        <v>5443053.6299999999</v>
      </c>
      <c r="H322" s="35">
        <v>0</v>
      </c>
      <c r="I322" s="35"/>
      <c r="J322" s="35">
        <v>5443053.6299999999</v>
      </c>
      <c r="K322" s="35">
        <v>0</v>
      </c>
      <c r="L322" s="35"/>
      <c r="M322" s="35">
        <v>0</v>
      </c>
      <c r="N322" s="35"/>
      <c r="O322" s="35">
        <v>0</v>
      </c>
      <c r="P322" s="35"/>
      <c r="Q322" s="35">
        <v>0</v>
      </c>
      <c r="R322" s="35"/>
      <c r="S322" s="35">
        <v>0</v>
      </c>
      <c r="T322" s="35">
        <v>0</v>
      </c>
      <c r="U322" s="35">
        <v>0</v>
      </c>
      <c r="V322" s="35">
        <f t="shared" si="85"/>
        <v>5443053.6299999999</v>
      </c>
      <c r="W322" s="42">
        <v>0</v>
      </c>
      <c r="X322" s="165">
        <v>2014</v>
      </c>
      <c r="Y322" s="165">
        <v>2014</v>
      </c>
      <c r="Z322" s="155"/>
      <c r="AA322" s="155"/>
    </row>
    <row r="323" spans="1:27" s="118" customFormat="1" ht="18" customHeight="1" x14ac:dyDescent="0.25">
      <c r="A323" s="165">
        <f t="shared" si="86"/>
        <v>261</v>
      </c>
      <c r="B323" s="24" t="s">
        <v>65</v>
      </c>
      <c r="C323" s="142" t="s">
        <v>25</v>
      </c>
      <c r="D323" s="165"/>
      <c r="E323" s="45">
        <v>7456.2</v>
      </c>
      <c r="F323" s="45">
        <v>5148.1000000000004</v>
      </c>
      <c r="G323" s="42">
        <f t="shared" si="84"/>
        <v>3585768.04</v>
      </c>
      <c r="H323" s="35">
        <v>0</v>
      </c>
      <c r="I323" s="35"/>
      <c r="J323" s="35">
        <v>3585768.04</v>
      </c>
      <c r="K323" s="35">
        <v>0</v>
      </c>
      <c r="L323" s="35"/>
      <c r="M323" s="35">
        <v>0</v>
      </c>
      <c r="N323" s="35"/>
      <c r="O323" s="35">
        <v>0</v>
      </c>
      <c r="P323" s="35"/>
      <c r="Q323" s="35">
        <v>0</v>
      </c>
      <c r="R323" s="35"/>
      <c r="S323" s="35">
        <v>0</v>
      </c>
      <c r="T323" s="35">
        <v>0</v>
      </c>
      <c r="U323" s="35">
        <v>0</v>
      </c>
      <c r="V323" s="35">
        <f t="shared" si="85"/>
        <v>3585768.04</v>
      </c>
      <c r="W323" s="42">
        <v>0</v>
      </c>
      <c r="X323" s="165">
        <v>2014</v>
      </c>
      <c r="Y323" s="165">
        <v>2014</v>
      </c>
      <c r="Z323" s="155"/>
      <c r="AA323" s="155"/>
    </row>
    <row r="324" spans="1:27" s="118" customFormat="1" ht="18" customHeight="1" x14ac:dyDescent="0.25">
      <c r="A324" s="165">
        <f t="shared" si="86"/>
        <v>262</v>
      </c>
      <c r="B324" s="24" t="s">
        <v>92</v>
      </c>
      <c r="C324" s="142">
        <v>1988</v>
      </c>
      <c r="D324" s="165"/>
      <c r="E324" s="45">
        <v>4539.2</v>
      </c>
      <c r="F324" s="45">
        <v>3416.7</v>
      </c>
      <c r="G324" s="42">
        <f t="shared" si="84"/>
        <v>408890.93</v>
      </c>
      <c r="H324" s="35">
        <v>408890.93</v>
      </c>
      <c r="I324" s="35"/>
      <c r="J324" s="35">
        <v>0</v>
      </c>
      <c r="K324" s="35">
        <v>0</v>
      </c>
      <c r="L324" s="35"/>
      <c r="M324" s="35">
        <v>0</v>
      </c>
      <c r="N324" s="35"/>
      <c r="O324" s="35">
        <v>0</v>
      </c>
      <c r="P324" s="35"/>
      <c r="Q324" s="35">
        <v>0</v>
      </c>
      <c r="R324" s="35"/>
      <c r="S324" s="35">
        <v>0</v>
      </c>
      <c r="T324" s="35">
        <v>0</v>
      </c>
      <c r="U324" s="35">
        <v>0</v>
      </c>
      <c r="V324" s="35">
        <f t="shared" si="85"/>
        <v>408890.93</v>
      </c>
      <c r="W324" s="42">
        <v>0</v>
      </c>
      <c r="X324" s="165">
        <v>2014</v>
      </c>
      <c r="Y324" s="165">
        <v>2014</v>
      </c>
      <c r="Z324" s="155"/>
      <c r="AA324" s="155"/>
    </row>
    <row r="325" spans="1:27" s="118" customFormat="1" ht="18" customHeight="1" x14ac:dyDescent="0.25">
      <c r="A325" s="165">
        <f t="shared" si="86"/>
        <v>263</v>
      </c>
      <c r="B325" s="24" t="s">
        <v>93</v>
      </c>
      <c r="C325" s="142">
        <v>1989</v>
      </c>
      <c r="D325" s="165"/>
      <c r="E325" s="45">
        <v>5304.1</v>
      </c>
      <c r="F325" s="45">
        <v>4100.2</v>
      </c>
      <c r="G325" s="42">
        <f t="shared" si="84"/>
        <v>450679.83</v>
      </c>
      <c r="H325" s="35">
        <v>450679.83</v>
      </c>
      <c r="I325" s="35"/>
      <c r="J325" s="35">
        <v>0</v>
      </c>
      <c r="K325" s="35">
        <v>0</v>
      </c>
      <c r="L325" s="35"/>
      <c r="M325" s="35">
        <v>0</v>
      </c>
      <c r="N325" s="35"/>
      <c r="O325" s="35">
        <v>0</v>
      </c>
      <c r="P325" s="35"/>
      <c r="Q325" s="35">
        <v>0</v>
      </c>
      <c r="R325" s="35"/>
      <c r="S325" s="35">
        <v>0</v>
      </c>
      <c r="T325" s="35">
        <v>0</v>
      </c>
      <c r="U325" s="35">
        <v>0</v>
      </c>
      <c r="V325" s="35">
        <f t="shared" si="85"/>
        <v>450679.83</v>
      </c>
      <c r="W325" s="42">
        <v>0</v>
      </c>
      <c r="X325" s="165">
        <v>2014</v>
      </c>
      <c r="Y325" s="165">
        <v>2014</v>
      </c>
      <c r="Z325" s="155"/>
      <c r="AA325" s="155"/>
    </row>
    <row r="326" spans="1:27" s="118" customFormat="1" ht="18" customHeight="1" x14ac:dyDescent="0.25">
      <c r="A326" s="165">
        <f t="shared" si="86"/>
        <v>264</v>
      </c>
      <c r="B326" s="24" t="s">
        <v>57</v>
      </c>
      <c r="C326" s="142">
        <v>1974</v>
      </c>
      <c r="D326" s="165"/>
      <c r="E326" s="35">
        <v>7920.3</v>
      </c>
      <c r="F326" s="45">
        <v>6222.2</v>
      </c>
      <c r="G326" s="42">
        <f t="shared" si="84"/>
        <v>969513</v>
      </c>
      <c r="H326" s="35">
        <v>969513</v>
      </c>
      <c r="I326" s="35"/>
      <c r="J326" s="35">
        <v>0</v>
      </c>
      <c r="K326" s="35">
        <v>0</v>
      </c>
      <c r="L326" s="35"/>
      <c r="M326" s="35">
        <v>0</v>
      </c>
      <c r="N326" s="35"/>
      <c r="O326" s="35">
        <v>0</v>
      </c>
      <c r="P326" s="35"/>
      <c r="Q326" s="35">
        <v>0</v>
      </c>
      <c r="R326" s="35"/>
      <c r="S326" s="35">
        <v>0</v>
      </c>
      <c r="T326" s="35">
        <v>0</v>
      </c>
      <c r="U326" s="35">
        <v>0</v>
      </c>
      <c r="V326" s="35">
        <f t="shared" si="85"/>
        <v>969513</v>
      </c>
      <c r="W326" s="42">
        <v>0</v>
      </c>
      <c r="X326" s="165">
        <v>2014</v>
      </c>
      <c r="Y326" s="165">
        <v>2014</v>
      </c>
      <c r="Z326" s="155"/>
      <c r="AA326" s="155"/>
    </row>
    <row r="327" spans="1:27" s="118" customFormat="1" ht="18" customHeight="1" x14ac:dyDescent="0.25">
      <c r="A327" s="165">
        <f t="shared" si="86"/>
        <v>265</v>
      </c>
      <c r="B327" s="24" t="s">
        <v>58</v>
      </c>
      <c r="C327" s="142">
        <v>1972</v>
      </c>
      <c r="D327" s="165"/>
      <c r="E327" s="45">
        <v>4927.2</v>
      </c>
      <c r="F327" s="45">
        <v>3691</v>
      </c>
      <c r="G327" s="42">
        <f t="shared" si="84"/>
        <v>1733482.09</v>
      </c>
      <c r="H327" s="35">
        <v>1733482.09</v>
      </c>
      <c r="I327" s="35"/>
      <c r="J327" s="35">
        <v>0</v>
      </c>
      <c r="K327" s="35">
        <v>0</v>
      </c>
      <c r="L327" s="35"/>
      <c r="M327" s="35">
        <v>0</v>
      </c>
      <c r="N327" s="35"/>
      <c r="O327" s="35">
        <v>0</v>
      </c>
      <c r="P327" s="35"/>
      <c r="Q327" s="35">
        <v>0</v>
      </c>
      <c r="R327" s="35"/>
      <c r="S327" s="35">
        <v>0</v>
      </c>
      <c r="T327" s="35">
        <v>0</v>
      </c>
      <c r="U327" s="35">
        <v>0</v>
      </c>
      <c r="V327" s="35">
        <f t="shared" si="85"/>
        <v>1733482.09</v>
      </c>
      <c r="W327" s="42">
        <v>0</v>
      </c>
      <c r="X327" s="165">
        <v>2014</v>
      </c>
      <c r="Y327" s="165">
        <v>2014</v>
      </c>
      <c r="Z327" s="155"/>
      <c r="AA327" s="155"/>
    </row>
    <row r="328" spans="1:27" s="118" customFormat="1" ht="18" customHeight="1" x14ac:dyDescent="0.25">
      <c r="A328" s="165">
        <f t="shared" si="86"/>
        <v>266</v>
      </c>
      <c r="B328" s="24" t="s">
        <v>392</v>
      </c>
      <c r="C328" s="142">
        <v>1971</v>
      </c>
      <c r="D328" s="165"/>
      <c r="E328" s="45">
        <v>3536.3</v>
      </c>
      <c r="F328" s="45">
        <v>2138.5</v>
      </c>
      <c r="G328" s="42">
        <f t="shared" si="84"/>
        <v>204283.44</v>
      </c>
      <c r="H328" s="35">
        <v>204283.44</v>
      </c>
      <c r="I328" s="35"/>
      <c r="J328" s="35">
        <v>0</v>
      </c>
      <c r="K328" s="35">
        <v>0</v>
      </c>
      <c r="L328" s="35"/>
      <c r="M328" s="35">
        <v>0</v>
      </c>
      <c r="N328" s="35"/>
      <c r="O328" s="35">
        <v>0</v>
      </c>
      <c r="P328" s="35"/>
      <c r="Q328" s="35">
        <v>0</v>
      </c>
      <c r="R328" s="35"/>
      <c r="S328" s="35">
        <v>0</v>
      </c>
      <c r="T328" s="35">
        <v>0</v>
      </c>
      <c r="U328" s="35">
        <v>0</v>
      </c>
      <c r="V328" s="35">
        <f t="shared" si="85"/>
        <v>204283.44</v>
      </c>
      <c r="W328" s="42">
        <v>0</v>
      </c>
      <c r="X328" s="165">
        <v>2014</v>
      </c>
      <c r="Y328" s="165">
        <v>2014</v>
      </c>
      <c r="Z328" s="155"/>
      <c r="AA328" s="155"/>
    </row>
    <row r="329" spans="1:27" s="118" customFormat="1" ht="18" customHeight="1" x14ac:dyDescent="0.25">
      <c r="A329" s="165">
        <f t="shared" si="86"/>
        <v>267</v>
      </c>
      <c r="B329" s="24" t="s">
        <v>393</v>
      </c>
      <c r="C329" s="142">
        <v>1975</v>
      </c>
      <c r="D329" s="165"/>
      <c r="E329" s="45">
        <v>3076.6</v>
      </c>
      <c r="F329" s="45">
        <v>1632.5</v>
      </c>
      <c r="G329" s="42">
        <f t="shared" si="84"/>
        <v>605370.59</v>
      </c>
      <c r="H329" s="35">
        <v>605370.59</v>
      </c>
      <c r="I329" s="35"/>
      <c r="J329" s="35">
        <v>0</v>
      </c>
      <c r="K329" s="35">
        <v>0</v>
      </c>
      <c r="L329" s="35"/>
      <c r="M329" s="35">
        <v>0</v>
      </c>
      <c r="N329" s="35"/>
      <c r="O329" s="35">
        <v>0</v>
      </c>
      <c r="P329" s="35"/>
      <c r="Q329" s="35">
        <v>0</v>
      </c>
      <c r="R329" s="35"/>
      <c r="S329" s="35">
        <v>0</v>
      </c>
      <c r="T329" s="35">
        <v>0</v>
      </c>
      <c r="U329" s="35">
        <v>0</v>
      </c>
      <c r="V329" s="35">
        <f t="shared" si="85"/>
        <v>605370.59</v>
      </c>
      <c r="W329" s="42">
        <v>0</v>
      </c>
      <c r="X329" s="165">
        <v>2014</v>
      </c>
      <c r="Y329" s="165">
        <v>2014</v>
      </c>
      <c r="Z329" s="155"/>
      <c r="AA329" s="155"/>
    </row>
    <row r="330" spans="1:27" s="118" customFormat="1" ht="18" customHeight="1" x14ac:dyDescent="0.25">
      <c r="A330" s="165">
        <f t="shared" si="86"/>
        <v>268</v>
      </c>
      <c r="B330" s="24" t="s">
        <v>394</v>
      </c>
      <c r="C330" s="142">
        <v>1975</v>
      </c>
      <c r="D330" s="165"/>
      <c r="E330" s="45">
        <v>3085.1</v>
      </c>
      <c r="F330" s="45">
        <v>1639.5</v>
      </c>
      <c r="G330" s="42">
        <f t="shared" si="84"/>
        <v>14332.42</v>
      </c>
      <c r="H330" s="35">
        <v>14332.42</v>
      </c>
      <c r="I330" s="35"/>
      <c r="J330" s="35">
        <v>0</v>
      </c>
      <c r="K330" s="35">
        <v>0</v>
      </c>
      <c r="L330" s="35"/>
      <c r="M330" s="35">
        <v>0</v>
      </c>
      <c r="N330" s="35"/>
      <c r="O330" s="35">
        <v>0</v>
      </c>
      <c r="P330" s="35"/>
      <c r="Q330" s="35">
        <v>0</v>
      </c>
      <c r="R330" s="35"/>
      <c r="S330" s="35">
        <v>0</v>
      </c>
      <c r="T330" s="35">
        <v>0</v>
      </c>
      <c r="U330" s="35">
        <v>0</v>
      </c>
      <c r="V330" s="35">
        <f t="shared" si="85"/>
        <v>14332.42</v>
      </c>
      <c r="W330" s="42">
        <v>0</v>
      </c>
      <c r="X330" s="165">
        <v>2014</v>
      </c>
      <c r="Y330" s="165">
        <v>2014</v>
      </c>
      <c r="Z330" s="155"/>
      <c r="AA330" s="155"/>
    </row>
    <row r="331" spans="1:27" s="118" customFormat="1" ht="18" customHeight="1" x14ac:dyDescent="0.25">
      <c r="A331" s="165">
        <f t="shared" si="86"/>
        <v>269</v>
      </c>
      <c r="B331" s="24" t="s">
        <v>395</v>
      </c>
      <c r="C331" s="142">
        <v>1972</v>
      </c>
      <c r="D331" s="165"/>
      <c r="E331" s="45">
        <v>3461.6</v>
      </c>
      <c r="F331" s="45">
        <v>2083.8000000000002</v>
      </c>
      <c r="G331" s="42">
        <f t="shared" si="84"/>
        <v>3334.35</v>
      </c>
      <c r="H331" s="35">
        <v>3334.35</v>
      </c>
      <c r="I331" s="35"/>
      <c r="J331" s="35">
        <v>0</v>
      </c>
      <c r="K331" s="35">
        <v>0</v>
      </c>
      <c r="L331" s="35"/>
      <c r="M331" s="35">
        <v>0</v>
      </c>
      <c r="N331" s="35"/>
      <c r="O331" s="35">
        <v>0</v>
      </c>
      <c r="P331" s="35"/>
      <c r="Q331" s="35">
        <v>0</v>
      </c>
      <c r="R331" s="35"/>
      <c r="S331" s="35">
        <v>0</v>
      </c>
      <c r="T331" s="35">
        <v>0</v>
      </c>
      <c r="U331" s="35">
        <v>0</v>
      </c>
      <c r="V331" s="35">
        <f t="shared" si="85"/>
        <v>3334.35</v>
      </c>
      <c r="W331" s="42">
        <v>0</v>
      </c>
      <c r="X331" s="165">
        <v>2014</v>
      </c>
      <c r="Y331" s="165">
        <v>2014</v>
      </c>
      <c r="Z331" s="155"/>
      <c r="AA331" s="155"/>
    </row>
    <row r="332" spans="1:27" s="118" customFormat="1" ht="18" customHeight="1" x14ac:dyDescent="0.25">
      <c r="A332" s="165">
        <f t="shared" si="86"/>
        <v>270</v>
      </c>
      <c r="B332" s="24" t="s">
        <v>500</v>
      </c>
      <c r="C332" s="142">
        <v>1964</v>
      </c>
      <c r="D332" s="165"/>
      <c r="E332" s="35">
        <v>3657.12</v>
      </c>
      <c r="F332" s="45">
        <v>2794.9</v>
      </c>
      <c r="G332" s="42">
        <f t="shared" si="84"/>
        <v>306094.28999999998</v>
      </c>
      <c r="H332" s="35">
        <v>306094.28999999998</v>
      </c>
      <c r="I332" s="35"/>
      <c r="J332" s="35">
        <v>0</v>
      </c>
      <c r="K332" s="35">
        <v>0</v>
      </c>
      <c r="L332" s="35"/>
      <c r="M332" s="35">
        <v>0</v>
      </c>
      <c r="N332" s="35"/>
      <c r="O332" s="35">
        <v>0</v>
      </c>
      <c r="P332" s="35"/>
      <c r="Q332" s="35">
        <v>0</v>
      </c>
      <c r="R332" s="35"/>
      <c r="S332" s="35">
        <v>0</v>
      </c>
      <c r="T332" s="35">
        <v>0</v>
      </c>
      <c r="U332" s="35">
        <v>0</v>
      </c>
      <c r="V332" s="35">
        <f t="shared" si="85"/>
        <v>306094.28999999998</v>
      </c>
      <c r="W332" s="42">
        <v>0</v>
      </c>
      <c r="X332" s="165">
        <v>2014</v>
      </c>
      <c r="Y332" s="165">
        <v>2014</v>
      </c>
      <c r="Z332" s="155"/>
      <c r="AA332" s="155"/>
    </row>
    <row r="333" spans="1:27" s="118" customFormat="1" ht="18" customHeight="1" x14ac:dyDescent="0.25">
      <c r="A333" s="165">
        <f t="shared" si="86"/>
        <v>271</v>
      </c>
      <c r="B333" s="24" t="s">
        <v>501</v>
      </c>
      <c r="C333" s="142">
        <v>1958</v>
      </c>
      <c r="D333" s="165"/>
      <c r="E333" s="45">
        <v>3131.5</v>
      </c>
      <c r="F333" s="45">
        <v>2107.4</v>
      </c>
      <c r="G333" s="42">
        <f t="shared" si="84"/>
        <v>348568.65</v>
      </c>
      <c r="H333" s="35">
        <v>348568.65</v>
      </c>
      <c r="I333" s="35"/>
      <c r="J333" s="35">
        <v>0</v>
      </c>
      <c r="K333" s="35">
        <v>0</v>
      </c>
      <c r="L333" s="35"/>
      <c r="M333" s="35">
        <v>0</v>
      </c>
      <c r="N333" s="35"/>
      <c r="O333" s="35">
        <v>0</v>
      </c>
      <c r="P333" s="35"/>
      <c r="Q333" s="35">
        <v>0</v>
      </c>
      <c r="R333" s="35"/>
      <c r="S333" s="35">
        <v>0</v>
      </c>
      <c r="T333" s="35">
        <v>0</v>
      </c>
      <c r="U333" s="35">
        <v>0</v>
      </c>
      <c r="V333" s="35">
        <f t="shared" si="85"/>
        <v>348568.65</v>
      </c>
      <c r="W333" s="42">
        <v>0</v>
      </c>
      <c r="X333" s="165">
        <v>2014</v>
      </c>
      <c r="Y333" s="165">
        <v>2014</v>
      </c>
      <c r="Z333" s="155"/>
      <c r="AA333" s="155"/>
    </row>
    <row r="334" spans="1:27" s="118" customFormat="1" ht="18" customHeight="1" x14ac:dyDescent="0.25">
      <c r="A334" s="165">
        <f t="shared" si="86"/>
        <v>272</v>
      </c>
      <c r="B334" s="24" t="s">
        <v>502</v>
      </c>
      <c r="C334" s="142">
        <v>1956</v>
      </c>
      <c r="D334" s="165"/>
      <c r="E334" s="45">
        <v>2133.8000000000002</v>
      </c>
      <c r="F334" s="45">
        <f>2133.8-45</f>
        <v>2088.8000000000002</v>
      </c>
      <c r="G334" s="42">
        <f t="shared" si="84"/>
        <v>332190.88</v>
      </c>
      <c r="H334" s="35">
        <v>332190.88</v>
      </c>
      <c r="I334" s="35"/>
      <c r="J334" s="35">
        <v>0</v>
      </c>
      <c r="K334" s="35">
        <v>0</v>
      </c>
      <c r="L334" s="35"/>
      <c r="M334" s="35">
        <v>0</v>
      </c>
      <c r="N334" s="35"/>
      <c r="O334" s="35">
        <v>0</v>
      </c>
      <c r="P334" s="35"/>
      <c r="Q334" s="35">
        <v>0</v>
      </c>
      <c r="R334" s="35"/>
      <c r="S334" s="35">
        <v>0</v>
      </c>
      <c r="T334" s="35">
        <v>0</v>
      </c>
      <c r="U334" s="35">
        <v>0</v>
      </c>
      <c r="V334" s="35">
        <f t="shared" si="85"/>
        <v>332190.88</v>
      </c>
      <c r="W334" s="42">
        <v>0</v>
      </c>
      <c r="X334" s="165">
        <v>2014</v>
      </c>
      <c r="Y334" s="165">
        <v>2014</v>
      </c>
      <c r="Z334" s="155"/>
      <c r="AA334" s="155"/>
    </row>
    <row r="335" spans="1:27" s="118" customFormat="1" ht="18" customHeight="1" x14ac:dyDescent="0.25">
      <c r="A335" s="165">
        <f t="shared" si="86"/>
        <v>273</v>
      </c>
      <c r="B335" s="24" t="s">
        <v>187</v>
      </c>
      <c r="C335" s="142" t="s">
        <v>188</v>
      </c>
      <c r="D335" s="165"/>
      <c r="E335" s="45">
        <v>1908.2</v>
      </c>
      <c r="F335" s="45">
        <v>1287.9000000000001</v>
      </c>
      <c r="G335" s="42">
        <f t="shared" si="84"/>
        <v>3704527.7</v>
      </c>
      <c r="H335" s="35">
        <v>1209861.73</v>
      </c>
      <c r="I335" s="35"/>
      <c r="J335" s="35">
        <v>0</v>
      </c>
      <c r="K335" s="35">
        <v>1255992.47</v>
      </c>
      <c r="L335" s="35"/>
      <c r="M335" s="35">
        <v>25754.9</v>
      </c>
      <c r="N335" s="35"/>
      <c r="O335" s="35">
        <v>1150299.8500000001</v>
      </c>
      <c r="P335" s="35"/>
      <c r="Q335" s="35">
        <v>62618.75</v>
      </c>
      <c r="R335" s="35"/>
      <c r="S335" s="35">
        <v>0</v>
      </c>
      <c r="T335" s="35">
        <v>0</v>
      </c>
      <c r="U335" s="35">
        <v>0</v>
      </c>
      <c r="V335" s="35">
        <v>0</v>
      </c>
      <c r="W335" s="42">
        <f t="shared" ref="W335:W346" si="87">G335</f>
        <v>3704527.7</v>
      </c>
      <c r="X335" s="165">
        <v>2015</v>
      </c>
      <c r="Y335" s="165">
        <v>2015</v>
      </c>
      <c r="Z335" s="155"/>
      <c r="AA335" s="155"/>
    </row>
    <row r="336" spans="1:27" s="118" customFormat="1" ht="18" customHeight="1" x14ac:dyDescent="0.25">
      <c r="A336" s="165">
        <f t="shared" si="86"/>
        <v>274</v>
      </c>
      <c r="B336" s="24" t="s">
        <v>189</v>
      </c>
      <c r="C336" s="142" t="s">
        <v>188</v>
      </c>
      <c r="D336" s="165"/>
      <c r="E336" s="45">
        <v>3515.2</v>
      </c>
      <c r="F336" s="45">
        <v>2892.7</v>
      </c>
      <c r="G336" s="42">
        <f t="shared" si="84"/>
        <v>8930271.0099999998</v>
      </c>
      <c r="H336" s="35">
        <v>3142067.5</v>
      </c>
      <c r="I336" s="35"/>
      <c r="J336" s="35">
        <v>0</v>
      </c>
      <c r="K336" s="35">
        <v>3503839.64</v>
      </c>
      <c r="L336" s="35"/>
      <c r="M336" s="35">
        <v>47497.24</v>
      </c>
      <c r="N336" s="35"/>
      <c r="O336" s="35">
        <v>2121385.02</v>
      </c>
      <c r="P336" s="35"/>
      <c r="Q336" s="35">
        <v>115481.61</v>
      </c>
      <c r="R336" s="35"/>
      <c r="S336" s="35">
        <v>0</v>
      </c>
      <c r="T336" s="35">
        <v>0</v>
      </c>
      <c r="U336" s="35">
        <v>0</v>
      </c>
      <c r="V336" s="35">
        <v>0</v>
      </c>
      <c r="W336" s="42">
        <f t="shared" si="87"/>
        <v>8930271.0099999998</v>
      </c>
      <c r="X336" s="165">
        <v>2015</v>
      </c>
      <c r="Y336" s="165">
        <v>2015</v>
      </c>
      <c r="Z336" s="155"/>
      <c r="AA336" s="155"/>
    </row>
    <row r="337" spans="1:28" s="118" customFormat="1" ht="18" customHeight="1" x14ac:dyDescent="0.25">
      <c r="A337" s="165">
        <f t="shared" si="86"/>
        <v>275</v>
      </c>
      <c r="B337" s="24" t="s">
        <v>201</v>
      </c>
      <c r="C337" s="142">
        <v>1978</v>
      </c>
      <c r="D337" s="165"/>
      <c r="E337" s="45">
        <v>3914.6</v>
      </c>
      <c r="F337" s="45">
        <v>3461.2</v>
      </c>
      <c r="G337" s="42">
        <f t="shared" ref="G337:G346" si="88">H337+J337+K337+M337+O337+Q337+S337</f>
        <v>11245161.899999999</v>
      </c>
      <c r="H337" s="58">
        <f>ROUND(F337*(493.96+163.46+250.9+265.61+621.06),2)</f>
        <v>6212819.3899999997</v>
      </c>
      <c r="I337" s="42">
        <f t="shared" ref="I337:I346" si="89">H337/F337</f>
        <v>1794.9900005778343</v>
      </c>
      <c r="J337" s="42">
        <v>0</v>
      </c>
      <c r="K337" s="58">
        <f>ROUND(F337*564.41,2)</f>
        <v>1953535.89</v>
      </c>
      <c r="L337" s="42">
        <f>K337/F337</f>
        <v>564.4099994221657</v>
      </c>
      <c r="M337" s="58">
        <v>0</v>
      </c>
      <c r="N337" s="58"/>
      <c r="O337" s="58">
        <f>ROUND(F337*889.52,2)</f>
        <v>3078806.62</v>
      </c>
      <c r="P337" s="42">
        <f t="shared" ref="P337:P346" si="90">O337/F337</f>
        <v>889.51999884433155</v>
      </c>
      <c r="Q337" s="58">
        <v>0</v>
      </c>
      <c r="R337" s="35"/>
      <c r="S337" s="35">
        <v>0</v>
      </c>
      <c r="T337" s="35">
        <v>0</v>
      </c>
      <c r="U337" s="35">
        <v>0</v>
      </c>
      <c r="V337" s="35">
        <v>0</v>
      </c>
      <c r="W337" s="42">
        <f t="shared" si="87"/>
        <v>11245161.899999999</v>
      </c>
      <c r="X337" s="165">
        <v>2016</v>
      </c>
      <c r="Y337" s="165">
        <v>2016</v>
      </c>
      <c r="Z337" s="155">
        <f>Z299+1</f>
        <v>130</v>
      </c>
      <c r="AA337" s="155">
        <f>AA299+1</f>
        <v>1</v>
      </c>
    </row>
    <row r="338" spans="1:28" s="118" customFormat="1" ht="18" customHeight="1" x14ac:dyDescent="0.25">
      <c r="A338" s="165">
        <f t="shared" si="86"/>
        <v>276</v>
      </c>
      <c r="B338" s="24" t="s">
        <v>195</v>
      </c>
      <c r="C338" s="142">
        <v>1976</v>
      </c>
      <c r="D338" s="165"/>
      <c r="E338" s="45">
        <v>3698</v>
      </c>
      <c r="F338" s="45">
        <v>3237.8</v>
      </c>
      <c r="G338" s="42">
        <f t="shared" si="88"/>
        <v>10519353.18</v>
      </c>
      <c r="H338" s="58">
        <f>ROUND(F338*(493.96+163.46+250.9+265.61+621.06),2)</f>
        <v>5811818.6200000001</v>
      </c>
      <c r="I338" s="42">
        <f t="shared" si="89"/>
        <v>1794.9899993822964</v>
      </c>
      <c r="J338" s="42">
        <v>0</v>
      </c>
      <c r="K338" s="58">
        <f>ROUND(F338*564.41,2)</f>
        <v>1827446.7</v>
      </c>
      <c r="L338" s="42">
        <f>K338/F338</f>
        <v>564.4100006177033</v>
      </c>
      <c r="M338" s="58">
        <v>0</v>
      </c>
      <c r="N338" s="58"/>
      <c r="O338" s="58">
        <f>ROUND(F338*889.52,2)</f>
        <v>2880087.86</v>
      </c>
      <c r="P338" s="42">
        <f t="shared" si="90"/>
        <v>889.52000123540665</v>
      </c>
      <c r="Q338" s="58">
        <v>0</v>
      </c>
      <c r="R338" s="35"/>
      <c r="S338" s="35">
        <v>0</v>
      </c>
      <c r="T338" s="35">
        <v>0</v>
      </c>
      <c r="U338" s="35">
        <v>0</v>
      </c>
      <c r="V338" s="35">
        <v>0</v>
      </c>
      <c r="W338" s="42">
        <f t="shared" si="87"/>
        <v>10519353.18</v>
      </c>
      <c r="X338" s="165">
        <v>2016</v>
      </c>
      <c r="Y338" s="165">
        <v>2016</v>
      </c>
      <c r="Z338" s="155">
        <f>Z337+1</f>
        <v>131</v>
      </c>
      <c r="AA338" s="155">
        <f>AA337+1</f>
        <v>2</v>
      </c>
    </row>
    <row r="339" spans="1:28" s="118" customFormat="1" ht="18" customHeight="1" x14ac:dyDescent="0.25">
      <c r="A339" s="165">
        <f t="shared" si="86"/>
        <v>277</v>
      </c>
      <c r="B339" s="24" t="s">
        <v>196</v>
      </c>
      <c r="C339" s="142">
        <v>1978</v>
      </c>
      <c r="D339" s="165"/>
      <c r="E339" s="45">
        <v>3684.8</v>
      </c>
      <c r="F339" s="45">
        <v>3221.3</v>
      </c>
      <c r="G339" s="42">
        <f t="shared" si="88"/>
        <v>10465746</v>
      </c>
      <c r="H339" s="58">
        <f>ROUND(F339*(493.96+163.46+250.9+265.61+621.06),2)</f>
        <v>5782201.29</v>
      </c>
      <c r="I339" s="42">
        <f t="shared" si="89"/>
        <v>1794.990000931301</v>
      </c>
      <c r="J339" s="42">
        <v>0</v>
      </c>
      <c r="K339" s="58">
        <f>ROUND(F339*564.41,2)</f>
        <v>1818133.93</v>
      </c>
      <c r="L339" s="42">
        <f>K339/F339</f>
        <v>564.40999906869888</v>
      </c>
      <c r="M339" s="58">
        <v>0</v>
      </c>
      <c r="N339" s="58"/>
      <c r="O339" s="58">
        <f>ROUND(F339*889.52,2)</f>
        <v>2865410.78</v>
      </c>
      <c r="P339" s="42">
        <f t="shared" si="90"/>
        <v>889.52000124173458</v>
      </c>
      <c r="Q339" s="58">
        <v>0</v>
      </c>
      <c r="R339" s="35"/>
      <c r="S339" s="35">
        <v>0</v>
      </c>
      <c r="T339" s="35">
        <v>0</v>
      </c>
      <c r="U339" s="35">
        <v>0</v>
      </c>
      <c r="V339" s="35">
        <v>0</v>
      </c>
      <c r="W339" s="42">
        <f t="shared" si="87"/>
        <v>10465746</v>
      </c>
      <c r="X339" s="165">
        <v>2016</v>
      </c>
      <c r="Y339" s="165">
        <v>2016</v>
      </c>
      <c r="Z339" s="155">
        <f t="shared" ref="Z339:Z346" si="91">Z338+1</f>
        <v>132</v>
      </c>
      <c r="AA339" s="155">
        <f t="shared" ref="AA339:AA346" si="92">AA338+1</f>
        <v>3</v>
      </c>
    </row>
    <row r="340" spans="1:28" s="118" customFormat="1" ht="18" customHeight="1" x14ac:dyDescent="0.25">
      <c r="A340" s="165">
        <f t="shared" si="86"/>
        <v>278</v>
      </c>
      <c r="B340" s="24" t="s">
        <v>198</v>
      </c>
      <c r="C340" s="142">
        <v>1973</v>
      </c>
      <c r="D340" s="165"/>
      <c r="E340" s="45">
        <v>2680.4</v>
      </c>
      <c r="F340" s="45">
        <v>2318</v>
      </c>
      <c r="G340" s="42">
        <f t="shared" si="88"/>
        <v>2061907.36</v>
      </c>
      <c r="H340" s="58">
        <v>0</v>
      </c>
      <c r="I340" s="42">
        <f t="shared" si="89"/>
        <v>0</v>
      </c>
      <c r="J340" s="42">
        <v>0</v>
      </c>
      <c r="K340" s="58">
        <v>0</v>
      </c>
      <c r="L340" s="42">
        <f>K340/F340</f>
        <v>0</v>
      </c>
      <c r="M340" s="58">
        <v>0</v>
      </c>
      <c r="N340" s="58"/>
      <c r="O340" s="58">
        <f>ROUND(F340*889.52,2)</f>
        <v>2061907.36</v>
      </c>
      <c r="P340" s="42">
        <f t="shared" si="90"/>
        <v>889.5200000000001</v>
      </c>
      <c r="Q340" s="58">
        <v>0</v>
      </c>
      <c r="R340" s="35"/>
      <c r="S340" s="35">
        <v>0</v>
      </c>
      <c r="T340" s="35">
        <v>0</v>
      </c>
      <c r="U340" s="35">
        <v>0</v>
      </c>
      <c r="V340" s="35">
        <v>0</v>
      </c>
      <c r="W340" s="42">
        <f t="shared" si="87"/>
        <v>2061907.36</v>
      </c>
      <c r="X340" s="165">
        <v>2016</v>
      </c>
      <c r="Y340" s="165">
        <v>2016</v>
      </c>
      <c r="Z340" s="155">
        <f t="shared" si="91"/>
        <v>133</v>
      </c>
      <c r="AA340" s="155">
        <f t="shared" si="92"/>
        <v>4</v>
      </c>
    </row>
    <row r="341" spans="1:28" s="118" customFormat="1" ht="18" customHeight="1" x14ac:dyDescent="0.25">
      <c r="A341" s="165">
        <f t="shared" si="86"/>
        <v>279</v>
      </c>
      <c r="B341" s="24" t="s">
        <v>197</v>
      </c>
      <c r="C341" s="142">
        <v>1971</v>
      </c>
      <c r="D341" s="165"/>
      <c r="E341" s="45">
        <v>13155.9</v>
      </c>
      <c r="F341" s="45">
        <v>11853.4</v>
      </c>
      <c r="G341" s="42">
        <f t="shared" si="88"/>
        <v>4304562.21</v>
      </c>
      <c r="H341" s="58">
        <f>ROUND(F341*250.9,2)</f>
        <v>2974018.06</v>
      </c>
      <c r="I341" s="42">
        <f t="shared" si="89"/>
        <v>250.9</v>
      </c>
      <c r="J341" s="42">
        <v>0</v>
      </c>
      <c r="K341" s="58">
        <v>0</v>
      </c>
      <c r="L341" s="42">
        <f>K341/F341</f>
        <v>0</v>
      </c>
      <c r="M341" s="58">
        <f>ROUND(F341*112.25,2)</f>
        <v>1330544.1499999999</v>
      </c>
      <c r="N341" s="58">
        <f>M341/F341</f>
        <v>112.25</v>
      </c>
      <c r="O341" s="58">
        <v>0</v>
      </c>
      <c r="P341" s="42">
        <f t="shared" si="90"/>
        <v>0</v>
      </c>
      <c r="Q341" s="58">
        <v>0</v>
      </c>
      <c r="R341" s="35"/>
      <c r="S341" s="35">
        <v>0</v>
      </c>
      <c r="T341" s="35">
        <v>0</v>
      </c>
      <c r="U341" s="35">
        <v>0</v>
      </c>
      <c r="V341" s="35">
        <v>0</v>
      </c>
      <c r="W341" s="42">
        <f t="shared" si="87"/>
        <v>4304562.21</v>
      </c>
      <c r="X341" s="165">
        <v>2016</v>
      </c>
      <c r="Y341" s="165">
        <v>2016</v>
      </c>
      <c r="Z341" s="155">
        <f t="shared" si="91"/>
        <v>134</v>
      </c>
      <c r="AA341" s="155">
        <f t="shared" si="92"/>
        <v>5</v>
      </c>
    </row>
    <row r="342" spans="1:28" s="118" customFormat="1" ht="18" customHeight="1" x14ac:dyDescent="0.25">
      <c r="A342" s="165">
        <f t="shared" si="86"/>
        <v>280</v>
      </c>
      <c r="B342" s="24" t="s">
        <v>192</v>
      </c>
      <c r="C342" s="142" t="s">
        <v>190</v>
      </c>
      <c r="D342" s="165"/>
      <c r="E342" s="45">
        <v>1833.4</v>
      </c>
      <c r="F342" s="45">
        <v>1639</v>
      </c>
      <c r="G342" s="42">
        <f t="shared" si="88"/>
        <v>1804443.66</v>
      </c>
      <c r="H342" s="42">
        <v>1804443.66</v>
      </c>
      <c r="I342" s="42">
        <f t="shared" si="89"/>
        <v>1100.9418303843806</v>
      </c>
      <c r="J342" s="42">
        <v>0</v>
      </c>
      <c r="K342" s="42">
        <v>0</v>
      </c>
      <c r="L342" s="42"/>
      <c r="M342" s="42">
        <v>0</v>
      </c>
      <c r="N342" s="42"/>
      <c r="O342" s="42">
        <v>0</v>
      </c>
      <c r="P342" s="42">
        <f t="shared" si="90"/>
        <v>0</v>
      </c>
      <c r="Q342" s="42">
        <v>0</v>
      </c>
      <c r="R342" s="35"/>
      <c r="S342" s="35">
        <v>0</v>
      </c>
      <c r="T342" s="35">
        <v>0</v>
      </c>
      <c r="U342" s="35">
        <v>0</v>
      </c>
      <c r="V342" s="35">
        <v>0</v>
      </c>
      <c r="W342" s="42">
        <f t="shared" si="87"/>
        <v>1804443.66</v>
      </c>
      <c r="X342" s="165">
        <v>2015</v>
      </c>
      <c r="Y342" s="165">
        <v>2016</v>
      </c>
      <c r="Z342" s="155">
        <f t="shared" si="91"/>
        <v>135</v>
      </c>
      <c r="AA342" s="155">
        <f t="shared" si="92"/>
        <v>6</v>
      </c>
    </row>
    <row r="343" spans="1:28" s="118" customFormat="1" ht="18" customHeight="1" x14ac:dyDescent="0.25">
      <c r="A343" s="165">
        <f t="shared" si="86"/>
        <v>281</v>
      </c>
      <c r="B343" s="24" t="s">
        <v>200</v>
      </c>
      <c r="C343" s="142">
        <v>1986</v>
      </c>
      <c r="D343" s="165"/>
      <c r="E343" s="45">
        <v>6098.8</v>
      </c>
      <c r="F343" s="45">
        <v>5275.7</v>
      </c>
      <c r="G343" s="42">
        <f t="shared" si="88"/>
        <v>4076797.18</v>
      </c>
      <c r="H343" s="58">
        <f>ROUND(F343*(169.07+134.5+469.18),2)</f>
        <v>4076797.18</v>
      </c>
      <c r="I343" s="42">
        <f t="shared" si="89"/>
        <v>772.75000094774157</v>
      </c>
      <c r="J343" s="42">
        <v>0</v>
      </c>
      <c r="K343" s="58">
        <v>0</v>
      </c>
      <c r="L343" s="58"/>
      <c r="M343" s="58">
        <v>0</v>
      </c>
      <c r="N343" s="58"/>
      <c r="O343" s="58">
        <v>0</v>
      </c>
      <c r="P343" s="42">
        <f t="shared" si="90"/>
        <v>0</v>
      </c>
      <c r="Q343" s="58">
        <v>0</v>
      </c>
      <c r="R343" s="35"/>
      <c r="S343" s="35">
        <v>0</v>
      </c>
      <c r="T343" s="35">
        <v>0</v>
      </c>
      <c r="U343" s="35">
        <v>0</v>
      </c>
      <c r="V343" s="35">
        <v>0</v>
      </c>
      <c r="W343" s="42">
        <f t="shared" si="87"/>
        <v>4076797.18</v>
      </c>
      <c r="X343" s="165">
        <v>2016</v>
      </c>
      <c r="Y343" s="165">
        <v>2016</v>
      </c>
      <c r="Z343" s="155">
        <f t="shared" si="91"/>
        <v>136</v>
      </c>
      <c r="AA343" s="155">
        <f t="shared" si="92"/>
        <v>7</v>
      </c>
    </row>
    <row r="344" spans="1:28" s="118" customFormat="1" ht="18" customHeight="1" x14ac:dyDescent="0.25">
      <c r="A344" s="165">
        <f t="shared" si="86"/>
        <v>282</v>
      </c>
      <c r="B344" s="24" t="s">
        <v>199</v>
      </c>
      <c r="C344" s="142">
        <v>1977</v>
      </c>
      <c r="D344" s="165"/>
      <c r="E344" s="45">
        <v>2379.1</v>
      </c>
      <c r="F344" s="45">
        <v>2015.2</v>
      </c>
      <c r="G344" s="42">
        <f t="shared" si="88"/>
        <v>5409824.5499999998</v>
      </c>
      <c r="H344" s="58">
        <f>ROUND(F344*(493.96+163.46+250.9+265.61+621.06),2)</f>
        <v>3617263.85</v>
      </c>
      <c r="I344" s="42">
        <f t="shared" si="89"/>
        <v>1794.9900009924572</v>
      </c>
      <c r="J344" s="42">
        <v>0</v>
      </c>
      <c r="K344" s="58">
        <v>0</v>
      </c>
      <c r="L344" s="58"/>
      <c r="M344" s="58">
        <v>0</v>
      </c>
      <c r="N344" s="58"/>
      <c r="O344" s="58">
        <f>ROUND(F344*889.52,2)</f>
        <v>1792560.7</v>
      </c>
      <c r="P344" s="42">
        <f t="shared" si="90"/>
        <v>889.51999801508532</v>
      </c>
      <c r="Q344" s="58">
        <v>0</v>
      </c>
      <c r="R344" s="35"/>
      <c r="S344" s="35">
        <v>0</v>
      </c>
      <c r="T344" s="35">
        <v>0</v>
      </c>
      <c r="U344" s="35">
        <v>0</v>
      </c>
      <c r="V344" s="35">
        <v>0</v>
      </c>
      <c r="W344" s="42">
        <f t="shared" si="87"/>
        <v>5409824.5499999998</v>
      </c>
      <c r="X344" s="165">
        <v>2016</v>
      </c>
      <c r="Y344" s="165">
        <v>2016</v>
      </c>
      <c r="Z344" s="155">
        <f t="shared" si="91"/>
        <v>137</v>
      </c>
      <c r="AA344" s="155">
        <f t="shared" si="92"/>
        <v>8</v>
      </c>
    </row>
    <row r="345" spans="1:28" s="118" customFormat="1" ht="18" customHeight="1" x14ac:dyDescent="0.25">
      <c r="A345" s="165">
        <f t="shared" si="86"/>
        <v>283</v>
      </c>
      <c r="B345" s="24" t="s">
        <v>202</v>
      </c>
      <c r="C345" s="142">
        <v>1963</v>
      </c>
      <c r="D345" s="165"/>
      <c r="E345" s="45">
        <v>1730.6</v>
      </c>
      <c r="F345" s="45">
        <v>1606.3</v>
      </c>
      <c r="G345" s="42">
        <f t="shared" si="88"/>
        <v>6709129.5899999999</v>
      </c>
      <c r="H345" s="58">
        <f>ROUND(F345*1699.45,2)</f>
        <v>2729826.54</v>
      </c>
      <c r="I345" s="42">
        <f t="shared" si="89"/>
        <v>1699.4500031127436</v>
      </c>
      <c r="J345" s="42">
        <v>0</v>
      </c>
      <c r="K345" s="58">
        <f>ROUND(F345*1595.21,2)</f>
        <v>2562385.8199999998</v>
      </c>
      <c r="L345" s="42">
        <f>K345/F345</f>
        <v>1595.2099981323538</v>
      </c>
      <c r="M345" s="58">
        <v>0</v>
      </c>
      <c r="N345" s="58"/>
      <c r="O345" s="58">
        <f>1606.3*882.1</f>
        <v>1416917.23</v>
      </c>
      <c r="P345" s="42">
        <f t="shared" si="90"/>
        <v>882.1</v>
      </c>
      <c r="Q345" s="58"/>
      <c r="R345" s="35"/>
      <c r="S345" s="35">
        <v>0</v>
      </c>
      <c r="T345" s="35">
        <v>0</v>
      </c>
      <c r="U345" s="35">
        <v>0</v>
      </c>
      <c r="V345" s="35">
        <v>0</v>
      </c>
      <c r="W345" s="42">
        <f t="shared" si="87"/>
        <v>6709129.5899999999</v>
      </c>
      <c r="X345" s="165">
        <v>2016</v>
      </c>
      <c r="Y345" s="165">
        <v>2016</v>
      </c>
      <c r="Z345" s="155">
        <f t="shared" si="91"/>
        <v>138</v>
      </c>
      <c r="AA345" s="155">
        <f t="shared" si="92"/>
        <v>9</v>
      </c>
    </row>
    <row r="346" spans="1:28" s="118" customFormat="1" ht="18" customHeight="1" x14ac:dyDescent="0.25">
      <c r="A346" s="165">
        <f t="shared" si="86"/>
        <v>284</v>
      </c>
      <c r="B346" s="24" t="s">
        <v>193</v>
      </c>
      <c r="C346" s="142" t="s">
        <v>194</v>
      </c>
      <c r="D346" s="165"/>
      <c r="E346" s="45">
        <v>3199.2</v>
      </c>
      <c r="F346" s="45">
        <v>2840.3</v>
      </c>
      <c r="G346" s="42">
        <f t="shared" si="88"/>
        <v>4462341.83</v>
      </c>
      <c r="H346" s="42">
        <v>2531659.4</v>
      </c>
      <c r="I346" s="42">
        <f t="shared" si="89"/>
        <v>891.33521106925321</v>
      </c>
      <c r="J346" s="42">
        <v>0</v>
      </c>
      <c r="K346" s="42">
        <v>0</v>
      </c>
      <c r="L346" s="42"/>
      <c r="M346" s="42">
        <v>0</v>
      </c>
      <c r="N346" s="42"/>
      <c r="O346" s="42">
        <v>1930682.43</v>
      </c>
      <c r="P346" s="42">
        <f t="shared" si="90"/>
        <v>679.74595289230001</v>
      </c>
      <c r="Q346" s="42">
        <v>0</v>
      </c>
      <c r="R346" s="35"/>
      <c r="S346" s="35">
        <v>0</v>
      </c>
      <c r="T346" s="35">
        <v>0</v>
      </c>
      <c r="U346" s="35">
        <v>0</v>
      </c>
      <c r="V346" s="35">
        <v>0</v>
      </c>
      <c r="W346" s="42">
        <f t="shared" si="87"/>
        <v>4462341.83</v>
      </c>
      <c r="X346" s="165">
        <v>2015</v>
      </c>
      <c r="Y346" s="165">
        <v>2016</v>
      </c>
      <c r="Z346" s="155">
        <f t="shared" si="91"/>
        <v>139</v>
      </c>
      <c r="AA346" s="155">
        <f t="shared" si="92"/>
        <v>10</v>
      </c>
    </row>
    <row r="347" spans="1:28" s="116" customFormat="1" ht="19.5" customHeight="1" x14ac:dyDescent="0.25">
      <c r="A347" s="183" t="s">
        <v>173</v>
      </c>
      <c r="B347" s="183"/>
      <c r="C347" s="144"/>
      <c r="D347" s="165"/>
      <c r="E347" s="29">
        <f>SUM(E304:E334)</f>
        <v>144275.82</v>
      </c>
      <c r="F347" s="29">
        <f>SUM(F304:F334)</f>
        <v>106021.69999999998</v>
      </c>
      <c r="G347" s="19">
        <f>SUM(G304:G334)</f>
        <v>35265541.840000004</v>
      </c>
      <c r="H347" s="19">
        <f t="shared" ref="H347:W347" si="93">SUM(H304:H334)</f>
        <v>10635752.289999999</v>
      </c>
      <c r="I347" s="19">
        <f t="shared" si="93"/>
        <v>0</v>
      </c>
      <c r="J347" s="19">
        <f t="shared" si="93"/>
        <v>17453302.459999997</v>
      </c>
      <c r="K347" s="19">
        <f t="shared" si="93"/>
        <v>0</v>
      </c>
      <c r="L347" s="19">
        <f t="shared" si="93"/>
        <v>0</v>
      </c>
      <c r="M347" s="19">
        <f t="shared" si="93"/>
        <v>0</v>
      </c>
      <c r="N347" s="19">
        <f t="shared" si="93"/>
        <v>0</v>
      </c>
      <c r="O347" s="19">
        <f t="shared" si="93"/>
        <v>7176487.0899999999</v>
      </c>
      <c r="P347" s="19">
        <f t="shared" si="93"/>
        <v>0</v>
      </c>
      <c r="Q347" s="19">
        <f t="shared" si="93"/>
        <v>0</v>
      </c>
      <c r="R347" s="19">
        <f t="shared" si="93"/>
        <v>0</v>
      </c>
      <c r="S347" s="19">
        <f t="shared" si="93"/>
        <v>0</v>
      </c>
      <c r="T347" s="19">
        <f t="shared" si="93"/>
        <v>0</v>
      </c>
      <c r="U347" s="19">
        <f t="shared" si="93"/>
        <v>0</v>
      </c>
      <c r="V347" s="19">
        <f t="shared" si="93"/>
        <v>35265541.840000004</v>
      </c>
      <c r="W347" s="19">
        <f t="shared" si="93"/>
        <v>0</v>
      </c>
      <c r="X347" s="20" t="s">
        <v>368</v>
      </c>
      <c r="Y347" s="20" t="s">
        <v>368</v>
      </c>
      <c r="Z347" s="156"/>
      <c r="AA347" s="155"/>
    </row>
    <row r="348" spans="1:28" s="116" customFormat="1" ht="19.5" customHeight="1" x14ac:dyDescent="0.25">
      <c r="A348" s="183" t="s">
        <v>171</v>
      </c>
      <c r="B348" s="183"/>
      <c r="C348" s="144"/>
      <c r="D348" s="167"/>
      <c r="E348" s="29">
        <f>SUM(E335:E336)</f>
        <v>5423.4</v>
      </c>
      <c r="F348" s="29">
        <f>SUM(F335:F336)</f>
        <v>4180.6000000000004</v>
      </c>
      <c r="G348" s="19">
        <f>SUM(G335:G336)</f>
        <v>12634798.710000001</v>
      </c>
      <c r="H348" s="19">
        <f t="shared" ref="H348:W348" si="94">SUM(H335:H336)</f>
        <v>4351929.2300000004</v>
      </c>
      <c r="I348" s="19">
        <f t="shared" si="94"/>
        <v>0</v>
      </c>
      <c r="J348" s="19">
        <f t="shared" si="94"/>
        <v>0</v>
      </c>
      <c r="K348" s="19">
        <f t="shared" si="94"/>
        <v>4759832.1100000003</v>
      </c>
      <c r="L348" s="19">
        <f t="shared" si="94"/>
        <v>0</v>
      </c>
      <c r="M348" s="19">
        <f t="shared" si="94"/>
        <v>73252.14</v>
      </c>
      <c r="N348" s="19">
        <f t="shared" si="94"/>
        <v>0</v>
      </c>
      <c r="O348" s="19">
        <f t="shared" si="94"/>
        <v>3271684.87</v>
      </c>
      <c r="P348" s="19">
        <f t="shared" si="94"/>
        <v>0</v>
      </c>
      <c r="Q348" s="19">
        <f t="shared" si="94"/>
        <v>178100.36</v>
      </c>
      <c r="R348" s="19">
        <f t="shared" si="94"/>
        <v>0</v>
      </c>
      <c r="S348" s="19">
        <f t="shared" si="94"/>
        <v>0</v>
      </c>
      <c r="T348" s="19">
        <f t="shared" si="94"/>
        <v>0</v>
      </c>
      <c r="U348" s="19">
        <f t="shared" si="94"/>
        <v>0</v>
      </c>
      <c r="V348" s="19">
        <f t="shared" si="94"/>
        <v>0</v>
      </c>
      <c r="W348" s="19">
        <f t="shared" si="94"/>
        <v>12634798.710000001</v>
      </c>
      <c r="X348" s="20" t="s">
        <v>368</v>
      </c>
      <c r="Y348" s="20" t="s">
        <v>368</v>
      </c>
      <c r="Z348" s="156"/>
      <c r="AA348" s="155"/>
    </row>
    <row r="349" spans="1:28" s="116" customFormat="1" ht="19.5" customHeight="1" x14ac:dyDescent="0.25">
      <c r="A349" s="183" t="s">
        <v>172</v>
      </c>
      <c r="B349" s="183"/>
      <c r="C349" s="144"/>
      <c r="D349" s="167"/>
      <c r="E349" s="29">
        <f>SUM(E337:E346)</f>
        <v>42374.799999999996</v>
      </c>
      <c r="F349" s="29">
        <f>SUM(F337:F346)</f>
        <v>37468.200000000004</v>
      </c>
      <c r="G349" s="19">
        <f>SUM(G337:G346)</f>
        <v>61059267.459999993</v>
      </c>
      <c r="H349" s="19">
        <f t="shared" ref="H349:W349" si="95">SUM(H337:H346)</f>
        <v>35540847.990000002</v>
      </c>
      <c r="I349" s="19">
        <f t="shared" si="95"/>
        <v>11895.337047398007</v>
      </c>
      <c r="J349" s="19">
        <f t="shared" si="95"/>
        <v>0</v>
      </c>
      <c r="K349" s="19">
        <f t="shared" si="95"/>
        <v>8161502.3399999999</v>
      </c>
      <c r="L349" s="19">
        <f t="shared" si="95"/>
        <v>3288.4399972409219</v>
      </c>
      <c r="M349" s="19">
        <f t="shared" si="95"/>
        <v>1330544.1499999999</v>
      </c>
      <c r="N349" s="19">
        <f t="shared" si="95"/>
        <v>112.25</v>
      </c>
      <c r="O349" s="19">
        <f t="shared" si="95"/>
        <v>16026372.979999999</v>
      </c>
      <c r="P349" s="19">
        <f t="shared" si="95"/>
        <v>6009.445952228858</v>
      </c>
      <c r="Q349" s="19">
        <f t="shared" si="95"/>
        <v>0</v>
      </c>
      <c r="R349" s="19">
        <f t="shared" si="95"/>
        <v>0</v>
      </c>
      <c r="S349" s="19">
        <f t="shared" si="95"/>
        <v>0</v>
      </c>
      <c r="T349" s="19">
        <f t="shared" si="95"/>
        <v>0</v>
      </c>
      <c r="U349" s="19">
        <f t="shared" si="95"/>
        <v>0</v>
      </c>
      <c r="V349" s="19">
        <f t="shared" si="95"/>
        <v>0</v>
      </c>
      <c r="W349" s="19">
        <f t="shared" si="95"/>
        <v>61059267.459999993</v>
      </c>
      <c r="X349" s="20" t="s">
        <v>368</v>
      </c>
      <c r="Y349" s="20" t="s">
        <v>368</v>
      </c>
      <c r="Z349" s="156"/>
      <c r="AA349" s="155"/>
      <c r="AB349" s="157">
        <f>T349+V349+W349</f>
        <v>61059267.459999993</v>
      </c>
    </row>
    <row r="350" spans="1:28" s="116" customFormat="1" ht="17.25" customHeight="1" x14ac:dyDescent="0.25">
      <c r="A350" s="182" t="s">
        <v>209</v>
      </c>
      <c r="B350" s="182"/>
      <c r="C350" s="182"/>
      <c r="D350" s="182"/>
      <c r="E350" s="182"/>
      <c r="F350" s="182"/>
      <c r="G350" s="182"/>
      <c r="H350" s="182"/>
      <c r="I350" s="182"/>
      <c r="J350" s="182"/>
      <c r="K350" s="182"/>
      <c r="L350" s="182"/>
      <c r="M350" s="182"/>
      <c r="N350" s="182"/>
      <c r="O350" s="182"/>
      <c r="P350" s="182"/>
      <c r="Q350" s="182"/>
      <c r="R350" s="182"/>
      <c r="S350" s="182"/>
      <c r="T350" s="182"/>
      <c r="U350" s="182"/>
      <c r="V350" s="182"/>
      <c r="W350" s="182"/>
      <c r="X350" s="167"/>
      <c r="Y350" s="167"/>
      <c r="Z350" s="156"/>
      <c r="AA350" s="156"/>
    </row>
    <row r="351" spans="1:28" s="116" customFormat="1" ht="17.25" customHeight="1" x14ac:dyDescent="0.25">
      <c r="A351" s="182" t="s">
        <v>210</v>
      </c>
      <c r="B351" s="182"/>
      <c r="C351" s="182"/>
      <c r="D351" s="182"/>
      <c r="E351" s="182"/>
      <c r="F351" s="182"/>
      <c r="G351" s="182"/>
      <c r="H351" s="182"/>
      <c r="I351" s="182"/>
      <c r="J351" s="182"/>
      <c r="K351" s="182"/>
      <c r="L351" s="182"/>
      <c r="M351" s="182"/>
      <c r="N351" s="182"/>
      <c r="O351" s="182"/>
      <c r="P351" s="182"/>
      <c r="Q351" s="182"/>
      <c r="R351" s="182"/>
      <c r="S351" s="182"/>
      <c r="T351" s="182"/>
      <c r="U351" s="182"/>
      <c r="V351" s="182"/>
      <c r="W351" s="182"/>
      <c r="X351" s="167"/>
      <c r="Y351" s="167"/>
      <c r="Z351" s="156"/>
      <c r="AA351" s="156"/>
    </row>
    <row r="352" spans="1:28" s="116" customFormat="1" ht="18" customHeight="1" x14ac:dyDescent="0.25">
      <c r="A352" s="165">
        <f>A346+1</f>
        <v>285</v>
      </c>
      <c r="B352" s="24" t="s">
        <v>334</v>
      </c>
      <c r="C352" s="142">
        <v>1976</v>
      </c>
      <c r="D352" s="165"/>
      <c r="E352" s="45">
        <v>3972.4</v>
      </c>
      <c r="F352" s="45">
        <v>3469.5</v>
      </c>
      <c r="G352" s="42">
        <f>H352+J352+K352+M352+O352+Q352+S352</f>
        <v>786084.62</v>
      </c>
      <c r="H352" s="35">
        <v>0</v>
      </c>
      <c r="I352" s="35"/>
      <c r="J352" s="35">
        <v>0</v>
      </c>
      <c r="K352" s="35">
        <v>0</v>
      </c>
      <c r="L352" s="35">
        <f>K352/F352</f>
        <v>0</v>
      </c>
      <c r="M352" s="35">
        <v>0</v>
      </c>
      <c r="N352" s="35"/>
      <c r="O352" s="35">
        <f>ROUND(3469.5*226.57,2)</f>
        <v>786084.62</v>
      </c>
      <c r="P352" s="35">
        <f>O352/F352</f>
        <v>226.57000144112985</v>
      </c>
      <c r="Q352" s="35">
        <v>0</v>
      </c>
      <c r="R352" s="35"/>
      <c r="S352" s="35">
        <v>0</v>
      </c>
      <c r="T352" s="35">
        <v>0</v>
      </c>
      <c r="U352" s="35">
        <v>0</v>
      </c>
      <c r="V352" s="35">
        <v>38273.86</v>
      </c>
      <c r="W352" s="42">
        <v>747810.76</v>
      </c>
      <c r="X352" s="165">
        <v>2016</v>
      </c>
      <c r="Y352" s="165">
        <v>2016</v>
      </c>
      <c r="Z352" s="156">
        <f>Z346+1</f>
        <v>140</v>
      </c>
      <c r="AA352" s="156"/>
    </row>
    <row r="353" spans="1:28" s="116" customFormat="1" ht="18" customHeight="1" x14ac:dyDescent="0.25">
      <c r="A353" s="165">
        <f>A352+1</f>
        <v>286</v>
      </c>
      <c r="B353" s="24" t="s">
        <v>333</v>
      </c>
      <c r="C353" s="142">
        <v>1975</v>
      </c>
      <c r="D353" s="165"/>
      <c r="E353" s="45">
        <v>4594.8999999999996</v>
      </c>
      <c r="F353" s="45">
        <v>3422.2</v>
      </c>
      <c r="G353" s="42">
        <f>H353+J353+K353+M353+O353+Q353+S353</f>
        <v>3178060.25</v>
      </c>
      <c r="H353" s="35">
        <v>0</v>
      </c>
      <c r="I353" s="35"/>
      <c r="J353" s="35">
        <v>0</v>
      </c>
      <c r="K353" s="35">
        <f>ROUND(3422.2*928.66,2)</f>
        <v>3178060.25</v>
      </c>
      <c r="L353" s="35">
        <f>K353/F353</f>
        <v>928.65999941558061</v>
      </c>
      <c r="M353" s="35">
        <v>0</v>
      </c>
      <c r="N353" s="35"/>
      <c r="O353" s="35">
        <v>0</v>
      </c>
      <c r="P353" s="35"/>
      <c r="Q353" s="35">
        <v>0</v>
      </c>
      <c r="R353" s="35"/>
      <c r="S353" s="35">
        <v>0</v>
      </c>
      <c r="T353" s="35">
        <v>0</v>
      </c>
      <c r="U353" s="35">
        <v>0</v>
      </c>
      <c r="V353" s="35">
        <v>154736.03</v>
      </c>
      <c r="W353" s="42">
        <v>3023324.22</v>
      </c>
      <c r="X353" s="165">
        <v>2016</v>
      </c>
      <c r="Y353" s="165">
        <v>2016</v>
      </c>
      <c r="Z353" s="156">
        <f>Z352+1</f>
        <v>141</v>
      </c>
      <c r="AA353" s="156"/>
    </row>
    <row r="354" spans="1:28" s="116" customFormat="1" ht="19.5" customHeight="1" x14ac:dyDescent="0.25">
      <c r="A354" s="183" t="s">
        <v>173</v>
      </c>
      <c r="B354" s="183"/>
      <c r="C354" s="144"/>
      <c r="D354" s="165"/>
      <c r="E354" s="28">
        <v>0</v>
      </c>
      <c r="F354" s="28">
        <v>0</v>
      </c>
      <c r="G354" s="19">
        <v>0</v>
      </c>
      <c r="H354" s="28">
        <v>0</v>
      </c>
      <c r="I354" s="28"/>
      <c r="J354" s="28">
        <v>0</v>
      </c>
      <c r="K354" s="28">
        <v>0</v>
      </c>
      <c r="L354" s="28"/>
      <c r="M354" s="28">
        <v>0</v>
      </c>
      <c r="N354" s="28"/>
      <c r="O354" s="28">
        <v>0</v>
      </c>
      <c r="P354" s="28"/>
      <c r="Q354" s="28">
        <v>0</v>
      </c>
      <c r="R354" s="28"/>
      <c r="S354" s="28">
        <v>0</v>
      </c>
      <c r="T354" s="28">
        <v>0</v>
      </c>
      <c r="U354" s="28">
        <v>0</v>
      </c>
      <c r="V354" s="28">
        <v>0</v>
      </c>
      <c r="W354" s="19">
        <v>0</v>
      </c>
      <c r="X354" s="20" t="s">
        <v>368</v>
      </c>
      <c r="Y354" s="20" t="s">
        <v>368</v>
      </c>
      <c r="Z354" s="156"/>
      <c r="AA354" s="156"/>
    </row>
    <row r="355" spans="1:28" s="116" customFormat="1" ht="19.5" customHeight="1" x14ac:dyDescent="0.25">
      <c r="A355" s="183" t="s">
        <v>171</v>
      </c>
      <c r="B355" s="183"/>
      <c r="C355" s="144"/>
      <c r="D355" s="167"/>
      <c r="E355" s="28">
        <v>0</v>
      </c>
      <c r="F355" s="28">
        <v>0</v>
      </c>
      <c r="G355" s="19">
        <v>0</v>
      </c>
      <c r="H355" s="28">
        <v>0</v>
      </c>
      <c r="I355" s="28"/>
      <c r="J355" s="28">
        <v>0</v>
      </c>
      <c r="K355" s="28">
        <v>0</v>
      </c>
      <c r="L355" s="28"/>
      <c r="M355" s="28">
        <v>0</v>
      </c>
      <c r="N355" s="28"/>
      <c r="O355" s="28">
        <v>0</v>
      </c>
      <c r="P355" s="28"/>
      <c r="Q355" s="28">
        <v>0</v>
      </c>
      <c r="R355" s="28"/>
      <c r="S355" s="28">
        <v>0</v>
      </c>
      <c r="T355" s="28">
        <v>0</v>
      </c>
      <c r="U355" s="28">
        <v>0</v>
      </c>
      <c r="V355" s="28">
        <v>0</v>
      </c>
      <c r="W355" s="19">
        <v>0</v>
      </c>
      <c r="X355" s="20" t="s">
        <v>368</v>
      </c>
      <c r="Y355" s="20" t="s">
        <v>368</v>
      </c>
      <c r="Z355" s="156"/>
      <c r="AA355" s="156"/>
    </row>
    <row r="356" spans="1:28" s="116" customFormat="1" ht="19.5" customHeight="1" x14ac:dyDescent="0.25">
      <c r="A356" s="183" t="s">
        <v>172</v>
      </c>
      <c r="B356" s="183"/>
      <c r="C356" s="144"/>
      <c r="D356" s="167"/>
      <c r="E356" s="29">
        <f>SUM(E352:E353)</f>
        <v>8567.2999999999993</v>
      </c>
      <c r="F356" s="29">
        <f>SUM(F352:F353)</f>
        <v>6891.7</v>
      </c>
      <c r="G356" s="19">
        <f t="shared" ref="G356:W356" si="96">SUM(G352:G353)</f>
        <v>3964144.87</v>
      </c>
      <c r="H356" s="28">
        <f t="shared" si="96"/>
        <v>0</v>
      </c>
      <c r="I356" s="28"/>
      <c r="J356" s="28">
        <f t="shared" si="96"/>
        <v>0</v>
      </c>
      <c r="K356" s="28">
        <f t="shared" si="96"/>
        <v>3178060.25</v>
      </c>
      <c r="L356" s="28"/>
      <c r="M356" s="28">
        <f t="shared" si="96"/>
        <v>0</v>
      </c>
      <c r="N356" s="28"/>
      <c r="O356" s="28">
        <f t="shared" si="96"/>
        <v>786084.62</v>
      </c>
      <c r="P356" s="28"/>
      <c r="Q356" s="28">
        <f t="shared" si="96"/>
        <v>0</v>
      </c>
      <c r="R356" s="28"/>
      <c r="S356" s="28">
        <f t="shared" si="96"/>
        <v>0</v>
      </c>
      <c r="T356" s="28">
        <f t="shared" si="96"/>
        <v>0</v>
      </c>
      <c r="U356" s="28">
        <f t="shared" si="96"/>
        <v>0</v>
      </c>
      <c r="V356" s="28">
        <f t="shared" si="96"/>
        <v>193009.89</v>
      </c>
      <c r="W356" s="19">
        <f t="shared" si="96"/>
        <v>3771134.9800000004</v>
      </c>
      <c r="X356" s="20" t="s">
        <v>368</v>
      </c>
      <c r="Y356" s="20" t="s">
        <v>368</v>
      </c>
      <c r="Z356" s="156"/>
      <c r="AA356" s="156"/>
      <c r="AB356" s="157">
        <f>T356+V356+W356</f>
        <v>3964144.8700000006</v>
      </c>
    </row>
    <row r="357" spans="1:28" s="116" customFormat="1" ht="17.25" customHeight="1" x14ac:dyDescent="0.25">
      <c r="A357" s="182" t="s">
        <v>335</v>
      </c>
      <c r="B357" s="182"/>
      <c r="C357" s="182"/>
      <c r="D357" s="182"/>
      <c r="E357" s="182"/>
      <c r="F357" s="182"/>
      <c r="G357" s="182"/>
      <c r="H357" s="182"/>
      <c r="I357" s="182"/>
      <c r="J357" s="182"/>
      <c r="K357" s="182"/>
      <c r="L357" s="182"/>
      <c r="M357" s="182"/>
      <c r="N357" s="182"/>
      <c r="O357" s="182"/>
      <c r="P357" s="182"/>
      <c r="Q357" s="182"/>
      <c r="R357" s="182"/>
      <c r="S357" s="182"/>
      <c r="T357" s="182"/>
      <c r="U357" s="182"/>
      <c r="V357" s="182"/>
      <c r="W357" s="182"/>
      <c r="X357" s="167"/>
      <c r="Y357" s="167"/>
      <c r="Z357" s="156"/>
      <c r="AA357" s="156"/>
    </row>
    <row r="358" spans="1:28" s="116" customFormat="1" ht="18" customHeight="1" x14ac:dyDescent="0.25">
      <c r="A358" s="165">
        <f>A353+1</f>
        <v>287</v>
      </c>
      <c r="B358" s="24" t="s">
        <v>503</v>
      </c>
      <c r="C358" s="142" t="s">
        <v>19</v>
      </c>
      <c r="D358" s="165"/>
      <c r="E358" s="45">
        <v>460.8</v>
      </c>
      <c r="F358" s="40">
        <v>415.1</v>
      </c>
      <c r="G358" s="42">
        <f>H358+J358+K358+M358+O358+Q358+S358</f>
        <v>1478698.28</v>
      </c>
      <c r="H358" s="35">
        <v>0</v>
      </c>
      <c r="I358" s="35"/>
      <c r="J358" s="35">
        <v>0</v>
      </c>
      <c r="K358" s="35">
        <v>1478698.28</v>
      </c>
      <c r="L358" s="35">
        <f>K358/F358</f>
        <v>3562.2700072271741</v>
      </c>
      <c r="M358" s="35">
        <v>0</v>
      </c>
      <c r="N358" s="35"/>
      <c r="O358" s="35">
        <v>0</v>
      </c>
      <c r="P358" s="35"/>
      <c r="Q358" s="35">
        <v>0</v>
      </c>
      <c r="R358" s="35"/>
      <c r="S358" s="35">
        <v>0</v>
      </c>
      <c r="T358" s="35">
        <v>0</v>
      </c>
      <c r="U358" s="35">
        <v>0</v>
      </c>
      <c r="V358" s="35">
        <v>0</v>
      </c>
      <c r="W358" s="42">
        <f>G358</f>
        <v>1478698.28</v>
      </c>
      <c r="X358" s="165">
        <v>2015</v>
      </c>
      <c r="Y358" s="165">
        <v>2016</v>
      </c>
      <c r="Z358" s="156">
        <f>Z353+1</f>
        <v>142</v>
      </c>
      <c r="AA358" s="156"/>
    </row>
    <row r="359" spans="1:28" s="116" customFormat="1" ht="19.5" customHeight="1" x14ac:dyDescent="0.25">
      <c r="A359" s="183" t="s">
        <v>173</v>
      </c>
      <c r="B359" s="183"/>
      <c r="C359" s="144"/>
      <c r="D359" s="165"/>
      <c r="E359" s="29">
        <v>0</v>
      </c>
      <c r="F359" s="29">
        <v>0</v>
      </c>
      <c r="G359" s="19">
        <v>0</v>
      </c>
      <c r="H359" s="28">
        <v>0</v>
      </c>
      <c r="I359" s="28"/>
      <c r="J359" s="28">
        <v>0</v>
      </c>
      <c r="K359" s="28">
        <v>0</v>
      </c>
      <c r="L359" s="28"/>
      <c r="M359" s="28">
        <v>0</v>
      </c>
      <c r="N359" s="28"/>
      <c r="O359" s="28">
        <v>0</v>
      </c>
      <c r="P359" s="28"/>
      <c r="Q359" s="28">
        <v>0</v>
      </c>
      <c r="R359" s="28"/>
      <c r="S359" s="28">
        <v>0</v>
      </c>
      <c r="T359" s="28">
        <v>0</v>
      </c>
      <c r="U359" s="28">
        <v>0</v>
      </c>
      <c r="V359" s="28">
        <v>0</v>
      </c>
      <c r="W359" s="19">
        <v>0</v>
      </c>
      <c r="X359" s="20" t="s">
        <v>368</v>
      </c>
      <c r="Y359" s="20" t="s">
        <v>368</v>
      </c>
      <c r="Z359" s="156"/>
      <c r="AA359" s="156"/>
    </row>
    <row r="360" spans="1:28" s="116" customFormat="1" ht="19.5" customHeight="1" x14ac:dyDescent="0.25">
      <c r="A360" s="183" t="s">
        <v>171</v>
      </c>
      <c r="B360" s="183"/>
      <c r="C360" s="144"/>
      <c r="D360" s="167"/>
      <c r="E360" s="29">
        <v>0</v>
      </c>
      <c r="F360" s="29">
        <v>0</v>
      </c>
      <c r="G360" s="19">
        <v>0</v>
      </c>
      <c r="H360" s="28">
        <v>0</v>
      </c>
      <c r="I360" s="28"/>
      <c r="J360" s="28">
        <v>0</v>
      </c>
      <c r="K360" s="28">
        <v>0</v>
      </c>
      <c r="L360" s="28"/>
      <c r="M360" s="28">
        <v>0</v>
      </c>
      <c r="N360" s="28"/>
      <c r="O360" s="28">
        <v>0</v>
      </c>
      <c r="P360" s="28"/>
      <c r="Q360" s="28">
        <v>0</v>
      </c>
      <c r="R360" s="28"/>
      <c r="S360" s="28">
        <v>0</v>
      </c>
      <c r="T360" s="28">
        <v>0</v>
      </c>
      <c r="U360" s="28">
        <v>0</v>
      </c>
      <c r="V360" s="28">
        <v>0</v>
      </c>
      <c r="W360" s="19">
        <v>0</v>
      </c>
      <c r="X360" s="20" t="s">
        <v>368</v>
      </c>
      <c r="Y360" s="20" t="s">
        <v>368</v>
      </c>
      <c r="Z360" s="156"/>
      <c r="AA360" s="156"/>
    </row>
    <row r="361" spans="1:28" s="116" customFormat="1" ht="19.5" customHeight="1" x14ac:dyDescent="0.25">
      <c r="A361" s="183" t="s">
        <v>172</v>
      </c>
      <c r="B361" s="183"/>
      <c r="C361" s="144"/>
      <c r="D361" s="167"/>
      <c r="E361" s="29">
        <f>SUM(E358)</f>
        <v>460.8</v>
      </c>
      <c r="F361" s="29">
        <f>SUM(F358)</f>
        <v>415.1</v>
      </c>
      <c r="G361" s="19">
        <f t="shared" ref="G361:W361" si="97">SUM(G358)</f>
        <v>1478698.28</v>
      </c>
      <c r="H361" s="28">
        <f t="shared" si="97"/>
        <v>0</v>
      </c>
      <c r="I361" s="28"/>
      <c r="J361" s="28">
        <f t="shared" si="97"/>
        <v>0</v>
      </c>
      <c r="K361" s="28">
        <f t="shared" si="97"/>
        <v>1478698.28</v>
      </c>
      <c r="L361" s="28"/>
      <c r="M361" s="28">
        <f t="shared" si="97"/>
        <v>0</v>
      </c>
      <c r="N361" s="28"/>
      <c r="O361" s="28">
        <f t="shared" si="97"/>
        <v>0</v>
      </c>
      <c r="P361" s="28"/>
      <c r="Q361" s="28">
        <f t="shared" si="97"/>
        <v>0</v>
      </c>
      <c r="R361" s="28"/>
      <c r="S361" s="28">
        <f t="shared" si="97"/>
        <v>0</v>
      </c>
      <c r="T361" s="28">
        <f t="shared" si="97"/>
        <v>0</v>
      </c>
      <c r="U361" s="28">
        <f t="shared" si="97"/>
        <v>0</v>
      </c>
      <c r="V361" s="28">
        <f t="shared" si="97"/>
        <v>0</v>
      </c>
      <c r="W361" s="19">
        <f t="shared" si="97"/>
        <v>1478698.28</v>
      </c>
      <c r="X361" s="20" t="s">
        <v>368</v>
      </c>
      <c r="Y361" s="20" t="s">
        <v>368</v>
      </c>
      <c r="Z361" s="156"/>
      <c r="AA361" s="156"/>
      <c r="AB361" s="157">
        <f>T361+V361+W361</f>
        <v>1478698.28</v>
      </c>
    </row>
    <row r="362" spans="1:28" s="116" customFormat="1" ht="17.25" customHeight="1" x14ac:dyDescent="0.25">
      <c r="A362" s="182" t="s">
        <v>212</v>
      </c>
      <c r="B362" s="182"/>
      <c r="C362" s="182"/>
      <c r="D362" s="182"/>
      <c r="E362" s="182"/>
      <c r="F362" s="182"/>
      <c r="G362" s="182"/>
      <c r="H362" s="182"/>
      <c r="I362" s="182"/>
      <c r="J362" s="182"/>
      <c r="K362" s="182"/>
      <c r="L362" s="182"/>
      <c r="M362" s="182"/>
      <c r="N362" s="182"/>
      <c r="O362" s="182"/>
      <c r="P362" s="182"/>
      <c r="Q362" s="182"/>
      <c r="R362" s="182"/>
      <c r="S362" s="182"/>
      <c r="T362" s="182"/>
      <c r="U362" s="182"/>
      <c r="V362" s="182"/>
      <c r="W362" s="182"/>
      <c r="X362" s="167"/>
      <c r="Y362" s="167"/>
      <c r="Z362" s="156"/>
      <c r="AA362" s="156"/>
    </row>
    <row r="363" spans="1:28" s="118" customFormat="1" ht="18" customHeight="1" x14ac:dyDescent="0.25">
      <c r="A363" s="165">
        <f>A358+1</f>
        <v>288</v>
      </c>
      <c r="B363" s="24" t="s">
        <v>213</v>
      </c>
      <c r="C363" s="142" t="s">
        <v>214</v>
      </c>
      <c r="D363" s="165"/>
      <c r="E363" s="45">
        <v>438.1</v>
      </c>
      <c r="F363" s="40">
        <v>388.8</v>
      </c>
      <c r="G363" s="42">
        <f>SUM(H363:S363)</f>
        <v>1074900.25</v>
      </c>
      <c r="H363" s="35">
        <v>0</v>
      </c>
      <c r="I363" s="35"/>
      <c r="J363" s="35">
        <v>0</v>
      </c>
      <c r="K363" s="35">
        <v>1074900.25</v>
      </c>
      <c r="L363" s="35"/>
      <c r="M363" s="35">
        <v>0</v>
      </c>
      <c r="N363" s="35"/>
      <c r="O363" s="35">
        <v>0</v>
      </c>
      <c r="P363" s="35"/>
      <c r="Q363" s="35">
        <v>0</v>
      </c>
      <c r="R363" s="35"/>
      <c r="S363" s="35">
        <v>0</v>
      </c>
      <c r="T363" s="35">
        <v>0</v>
      </c>
      <c r="U363" s="35">
        <v>0</v>
      </c>
      <c r="V363" s="35">
        <v>0</v>
      </c>
      <c r="W363" s="42">
        <f>G363</f>
        <v>1074900.25</v>
      </c>
      <c r="X363" s="165">
        <v>2015</v>
      </c>
      <c r="Y363" s="165">
        <v>2015</v>
      </c>
      <c r="Z363" s="155"/>
      <c r="AA363" s="156"/>
    </row>
    <row r="364" spans="1:28" s="118" customFormat="1" ht="18" customHeight="1" x14ac:dyDescent="0.25">
      <c r="A364" s="165">
        <f>A363+1</f>
        <v>289</v>
      </c>
      <c r="B364" s="24" t="s">
        <v>215</v>
      </c>
      <c r="C364" s="142" t="s">
        <v>216</v>
      </c>
      <c r="D364" s="165"/>
      <c r="E364" s="45">
        <v>361.5</v>
      </c>
      <c r="F364" s="40">
        <v>331.8</v>
      </c>
      <c r="G364" s="42">
        <f>SUM(H364:S364)</f>
        <v>882035</v>
      </c>
      <c r="H364" s="35">
        <v>0</v>
      </c>
      <c r="I364" s="35"/>
      <c r="J364" s="35">
        <v>0</v>
      </c>
      <c r="K364" s="35">
        <v>882035</v>
      </c>
      <c r="L364" s="35"/>
      <c r="M364" s="35">
        <v>0</v>
      </c>
      <c r="N364" s="35"/>
      <c r="O364" s="35">
        <v>0</v>
      </c>
      <c r="P364" s="35"/>
      <c r="Q364" s="35">
        <v>0</v>
      </c>
      <c r="R364" s="35"/>
      <c r="S364" s="35">
        <v>0</v>
      </c>
      <c r="T364" s="35">
        <v>0</v>
      </c>
      <c r="U364" s="35">
        <v>0</v>
      </c>
      <c r="V364" s="35">
        <v>0</v>
      </c>
      <c r="W364" s="42">
        <f>G364</f>
        <v>882035</v>
      </c>
      <c r="X364" s="165">
        <v>2015</v>
      </c>
      <c r="Y364" s="165">
        <v>2015</v>
      </c>
      <c r="Z364" s="155"/>
      <c r="AA364" s="156"/>
    </row>
    <row r="365" spans="1:28" s="118" customFormat="1" ht="18" customHeight="1" x14ac:dyDescent="0.25">
      <c r="A365" s="165">
        <f>A364+1</f>
        <v>290</v>
      </c>
      <c r="B365" s="24" t="s">
        <v>217</v>
      </c>
      <c r="C365" s="142" t="s">
        <v>206</v>
      </c>
      <c r="D365" s="165"/>
      <c r="E365" s="45">
        <v>386.7</v>
      </c>
      <c r="F365" s="40">
        <v>336.5</v>
      </c>
      <c r="G365" s="42">
        <f>SUM(H365:S365)</f>
        <v>901944.23</v>
      </c>
      <c r="H365" s="35">
        <v>0</v>
      </c>
      <c r="I365" s="35"/>
      <c r="J365" s="35">
        <v>0</v>
      </c>
      <c r="K365" s="35">
        <v>901944.23</v>
      </c>
      <c r="L365" s="35"/>
      <c r="M365" s="35">
        <v>0</v>
      </c>
      <c r="N365" s="35"/>
      <c r="O365" s="35">
        <v>0</v>
      </c>
      <c r="P365" s="35"/>
      <c r="Q365" s="35">
        <v>0</v>
      </c>
      <c r="R365" s="35"/>
      <c r="S365" s="35">
        <v>0</v>
      </c>
      <c r="T365" s="35">
        <v>0</v>
      </c>
      <c r="U365" s="35">
        <v>0</v>
      </c>
      <c r="V365" s="35">
        <v>0</v>
      </c>
      <c r="W365" s="42">
        <f>G365</f>
        <v>901944.23</v>
      </c>
      <c r="X365" s="165">
        <v>2015</v>
      </c>
      <c r="Y365" s="165">
        <v>2015</v>
      </c>
      <c r="Z365" s="155"/>
      <c r="AA365" s="156"/>
    </row>
    <row r="366" spans="1:28" s="118" customFormat="1" ht="18" customHeight="1" x14ac:dyDescent="0.25">
      <c r="A366" s="165">
        <f>A365+1</f>
        <v>291</v>
      </c>
      <c r="B366" s="24" t="s">
        <v>218</v>
      </c>
      <c r="C366" s="142" t="s">
        <v>206</v>
      </c>
      <c r="D366" s="165"/>
      <c r="E366" s="45">
        <v>366.5</v>
      </c>
      <c r="F366" s="40">
        <v>336.4</v>
      </c>
      <c r="G366" s="42">
        <f>SUM(H366:S366)</f>
        <v>854829.96</v>
      </c>
      <c r="H366" s="35">
        <v>0</v>
      </c>
      <c r="I366" s="35"/>
      <c r="J366" s="35">
        <v>0</v>
      </c>
      <c r="K366" s="35">
        <v>854829.96</v>
      </c>
      <c r="L366" s="35"/>
      <c r="M366" s="35">
        <v>0</v>
      </c>
      <c r="N366" s="35"/>
      <c r="O366" s="35">
        <v>0</v>
      </c>
      <c r="P366" s="35"/>
      <c r="Q366" s="35">
        <v>0</v>
      </c>
      <c r="R366" s="35"/>
      <c r="S366" s="35">
        <v>0</v>
      </c>
      <c r="T366" s="35">
        <v>0</v>
      </c>
      <c r="U366" s="35">
        <v>0</v>
      </c>
      <c r="V366" s="35">
        <v>0</v>
      </c>
      <c r="W366" s="42">
        <f>G366</f>
        <v>854829.96</v>
      </c>
      <c r="X366" s="165">
        <v>2015</v>
      </c>
      <c r="Y366" s="165">
        <v>2015</v>
      </c>
      <c r="Z366" s="155"/>
      <c r="AA366" s="155"/>
    </row>
    <row r="367" spans="1:28" s="118" customFormat="1" ht="18" customHeight="1" x14ac:dyDescent="0.25">
      <c r="A367" s="165">
        <f>A366+1</f>
        <v>292</v>
      </c>
      <c r="B367" s="24" t="s">
        <v>379</v>
      </c>
      <c r="C367" s="142" t="s">
        <v>288</v>
      </c>
      <c r="D367" s="165"/>
      <c r="E367" s="26">
        <v>366.7</v>
      </c>
      <c r="F367" s="26">
        <v>337.7</v>
      </c>
      <c r="G367" s="42">
        <f>H367+J367+K367+M367+O367+Q367+S367</f>
        <v>1202978.58</v>
      </c>
      <c r="H367" s="35">
        <v>0</v>
      </c>
      <c r="I367" s="35"/>
      <c r="J367" s="35">
        <v>0</v>
      </c>
      <c r="K367" s="35">
        <v>1202978.58</v>
      </c>
      <c r="L367" s="35">
        <f>K367/F367</f>
        <v>3562.2700029612083</v>
      </c>
      <c r="M367" s="35">
        <v>0</v>
      </c>
      <c r="N367" s="35"/>
      <c r="O367" s="35">
        <v>0</v>
      </c>
      <c r="P367" s="35"/>
      <c r="Q367" s="35">
        <v>0</v>
      </c>
      <c r="R367" s="35"/>
      <c r="S367" s="35">
        <v>0</v>
      </c>
      <c r="T367" s="35">
        <v>0</v>
      </c>
      <c r="U367" s="35">
        <v>0</v>
      </c>
      <c r="V367" s="35">
        <v>0</v>
      </c>
      <c r="W367" s="42">
        <f>G367</f>
        <v>1202978.58</v>
      </c>
      <c r="X367" s="165">
        <v>2016</v>
      </c>
      <c r="Y367" s="165">
        <v>2016</v>
      </c>
      <c r="Z367" s="155">
        <f>Z358+1</f>
        <v>143</v>
      </c>
      <c r="AA367" s="155"/>
    </row>
    <row r="368" spans="1:28" s="116" customFormat="1" ht="19.5" customHeight="1" x14ac:dyDescent="0.25">
      <c r="A368" s="183" t="s">
        <v>173</v>
      </c>
      <c r="B368" s="183"/>
      <c r="C368" s="144"/>
      <c r="D368" s="165"/>
      <c r="E368" s="29">
        <v>0</v>
      </c>
      <c r="F368" s="29">
        <v>0</v>
      </c>
      <c r="G368" s="19">
        <v>0</v>
      </c>
      <c r="H368" s="28">
        <v>0</v>
      </c>
      <c r="I368" s="28"/>
      <c r="J368" s="28">
        <v>0</v>
      </c>
      <c r="K368" s="28">
        <v>0</v>
      </c>
      <c r="L368" s="28"/>
      <c r="M368" s="28">
        <v>0</v>
      </c>
      <c r="N368" s="28"/>
      <c r="O368" s="28">
        <v>0</v>
      </c>
      <c r="P368" s="28"/>
      <c r="Q368" s="28">
        <v>0</v>
      </c>
      <c r="R368" s="28"/>
      <c r="S368" s="28">
        <v>0</v>
      </c>
      <c r="T368" s="28">
        <v>0</v>
      </c>
      <c r="U368" s="28">
        <v>0</v>
      </c>
      <c r="V368" s="28">
        <v>0</v>
      </c>
      <c r="W368" s="19">
        <v>0</v>
      </c>
      <c r="X368" s="20" t="s">
        <v>368</v>
      </c>
      <c r="Y368" s="20" t="s">
        <v>368</v>
      </c>
      <c r="Z368" s="156"/>
      <c r="AA368" s="155"/>
    </row>
    <row r="369" spans="1:28" s="116" customFormat="1" ht="19.5" customHeight="1" x14ac:dyDescent="0.25">
      <c r="A369" s="183" t="s">
        <v>171</v>
      </c>
      <c r="B369" s="183"/>
      <c r="C369" s="144"/>
      <c r="D369" s="167"/>
      <c r="E369" s="29">
        <f t="shared" ref="E369:K369" si="98">SUM(E363:E366)</f>
        <v>1552.8</v>
      </c>
      <c r="F369" s="29">
        <f t="shared" si="98"/>
        <v>1393.5</v>
      </c>
      <c r="G369" s="19">
        <f t="shared" si="98"/>
        <v>3713709.44</v>
      </c>
      <c r="H369" s="28">
        <f t="shared" si="98"/>
        <v>0</v>
      </c>
      <c r="I369" s="28"/>
      <c r="J369" s="28">
        <f t="shared" si="98"/>
        <v>0</v>
      </c>
      <c r="K369" s="28">
        <f t="shared" si="98"/>
        <v>3713709.44</v>
      </c>
      <c r="L369" s="28"/>
      <c r="M369" s="28">
        <v>0</v>
      </c>
      <c r="N369" s="28"/>
      <c r="O369" s="28">
        <v>0</v>
      </c>
      <c r="P369" s="28"/>
      <c r="Q369" s="28">
        <v>0</v>
      </c>
      <c r="R369" s="28"/>
      <c r="S369" s="35">
        <v>0</v>
      </c>
      <c r="T369" s="28">
        <v>0</v>
      </c>
      <c r="U369" s="28">
        <v>0</v>
      </c>
      <c r="V369" s="28">
        <v>0</v>
      </c>
      <c r="W369" s="19">
        <f>SUM(W363:W366)</f>
        <v>3713709.44</v>
      </c>
      <c r="X369" s="20" t="s">
        <v>368</v>
      </c>
      <c r="Y369" s="20" t="s">
        <v>368</v>
      </c>
      <c r="Z369" s="156"/>
      <c r="AA369" s="155"/>
    </row>
    <row r="370" spans="1:28" s="116" customFormat="1" ht="19.5" customHeight="1" x14ac:dyDescent="0.25">
      <c r="A370" s="183" t="s">
        <v>172</v>
      </c>
      <c r="B370" s="183"/>
      <c r="C370" s="144"/>
      <c r="D370" s="167"/>
      <c r="E370" s="29">
        <f>SUM(E367)</f>
        <v>366.7</v>
      </c>
      <c r="F370" s="29">
        <f>SUM(F367)</f>
        <v>337.7</v>
      </c>
      <c r="G370" s="19">
        <f t="shared" ref="G370:W370" si="99">SUM(G367)</f>
        <v>1202978.58</v>
      </c>
      <c r="H370" s="28">
        <f t="shared" si="99"/>
        <v>0</v>
      </c>
      <c r="I370" s="28"/>
      <c r="J370" s="28">
        <f t="shared" si="99"/>
        <v>0</v>
      </c>
      <c r="K370" s="28">
        <f t="shared" si="99"/>
        <v>1202978.58</v>
      </c>
      <c r="L370" s="28"/>
      <c r="M370" s="28">
        <f t="shared" si="99"/>
        <v>0</v>
      </c>
      <c r="N370" s="28"/>
      <c r="O370" s="28">
        <f t="shared" si="99"/>
        <v>0</v>
      </c>
      <c r="P370" s="28"/>
      <c r="Q370" s="28">
        <f t="shared" si="99"/>
        <v>0</v>
      </c>
      <c r="R370" s="28"/>
      <c r="S370" s="28">
        <f t="shared" si="99"/>
        <v>0</v>
      </c>
      <c r="T370" s="28">
        <f t="shared" si="99"/>
        <v>0</v>
      </c>
      <c r="U370" s="28">
        <f t="shared" si="99"/>
        <v>0</v>
      </c>
      <c r="V370" s="28">
        <f t="shared" si="99"/>
        <v>0</v>
      </c>
      <c r="W370" s="19">
        <f t="shared" si="99"/>
        <v>1202978.58</v>
      </c>
      <c r="X370" s="20" t="s">
        <v>368</v>
      </c>
      <c r="Y370" s="20" t="s">
        <v>368</v>
      </c>
      <c r="Z370" s="156"/>
      <c r="AA370" s="155"/>
      <c r="AB370" s="157">
        <f>T370+V370+W370</f>
        <v>1202978.58</v>
      </c>
    </row>
    <row r="371" spans="1:28" s="116" customFormat="1" ht="17.25" customHeight="1" x14ac:dyDescent="0.25">
      <c r="A371" s="182" t="s">
        <v>219</v>
      </c>
      <c r="B371" s="182"/>
      <c r="C371" s="182"/>
      <c r="D371" s="182"/>
      <c r="E371" s="182"/>
      <c r="F371" s="182"/>
      <c r="G371" s="182"/>
      <c r="H371" s="182"/>
      <c r="I371" s="182"/>
      <c r="J371" s="182"/>
      <c r="K371" s="182"/>
      <c r="L371" s="182"/>
      <c r="M371" s="182"/>
      <c r="N371" s="182"/>
      <c r="O371" s="182"/>
      <c r="P371" s="182"/>
      <c r="Q371" s="182"/>
      <c r="R371" s="182"/>
      <c r="S371" s="182"/>
      <c r="T371" s="182"/>
      <c r="U371" s="182"/>
      <c r="V371" s="182"/>
      <c r="W371" s="182"/>
      <c r="X371" s="167"/>
      <c r="Y371" s="167"/>
      <c r="Z371" s="156"/>
      <c r="AA371" s="156"/>
    </row>
    <row r="372" spans="1:28" s="118" customFormat="1" ht="18" customHeight="1" x14ac:dyDescent="0.25">
      <c r="A372" s="165">
        <f>A367+1</f>
        <v>293</v>
      </c>
      <c r="B372" s="75" t="s">
        <v>344</v>
      </c>
      <c r="C372" s="143" t="s">
        <v>226</v>
      </c>
      <c r="D372" s="76"/>
      <c r="E372" s="45">
        <v>765.5</v>
      </c>
      <c r="F372" s="45">
        <v>700.9</v>
      </c>
      <c r="G372" s="42">
        <f t="shared" ref="G372:G381" si="100">SUM(H372:S372)</f>
        <v>1804659.85</v>
      </c>
      <c r="H372" s="35">
        <v>0</v>
      </c>
      <c r="I372" s="35"/>
      <c r="J372" s="35">
        <v>0</v>
      </c>
      <c r="K372" s="35">
        <v>1804659.85</v>
      </c>
      <c r="L372" s="35"/>
      <c r="M372" s="35">
        <v>0</v>
      </c>
      <c r="N372" s="35"/>
      <c r="O372" s="35">
        <v>0</v>
      </c>
      <c r="P372" s="35"/>
      <c r="Q372" s="35">
        <v>0</v>
      </c>
      <c r="R372" s="35"/>
      <c r="S372" s="35">
        <v>0</v>
      </c>
      <c r="T372" s="35">
        <v>0</v>
      </c>
      <c r="U372" s="35">
        <v>0</v>
      </c>
      <c r="V372" s="35">
        <v>0</v>
      </c>
      <c r="W372" s="42">
        <f t="shared" ref="W372:W400" si="101">G372</f>
        <v>1804659.85</v>
      </c>
      <c r="X372" s="165">
        <v>2015</v>
      </c>
      <c r="Y372" s="165">
        <v>2015</v>
      </c>
      <c r="Z372" s="155"/>
      <c r="AA372" s="156"/>
    </row>
    <row r="373" spans="1:28" s="118" customFormat="1" ht="18" customHeight="1" x14ac:dyDescent="0.25">
      <c r="A373" s="165">
        <f>A372+1</f>
        <v>294</v>
      </c>
      <c r="B373" s="75" t="s">
        <v>345</v>
      </c>
      <c r="C373" s="143" t="s">
        <v>227</v>
      </c>
      <c r="D373" s="76"/>
      <c r="E373" s="45">
        <v>712.3</v>
      </c>
      <c r="F373" s="45">
        <v>656.1</v>
      </c>
      <c r="G373" s="42">
        <f t="shared" si="100"/>
        <v>1670268</v>
      </c>
      <c r="H373" s="35">
        <v>0</v>
      </c>
      <c r="I373" s="35"/>
      <c r="J373" s="35">
        <v>0</v>
      </c>
      <c r="K373" s="35">
        <v>1670268</v>
      </c>
      <c r="L373" s="35"/>
      <c r="M373" s="35">
        <v>0</v>
      </c>
      <c r="N373" s="35"/>
      <c r="O373" s="35">
        <v>0</v>
      </c>
      <c r="P373" s="35"/>
      <c r="Q373" s="35">
        <v>0</v>
      </c>
      <c r="R373" s="35"/>
      <c r="S373" s="35">
        <v>0</v>
      </c>
      <c r="T373" s="35">
        <v>0</v>
      </c>
      <c r="U373" s="35">
        <v>0</v>
      </c>
      <c r="V373" s="35">
        <v>0</v>
      </c>
      <c r="W373" s="42">
        <f t="shared" si="101"/>
        <v>1670268</v>
      </c>
      <c r="X373" s="165">
        <v>2015</v>
      </c>
      <c r="Y373" s="165">
        <v>2015</v>
      </c>
      <c r="Z373" s="155"/>
      <c r="AA373" s="156"/>
    </row>
    <row r="374" spans="1:28" s="118" customFormat="1" ht="18" customHeight="1" x14ac:dyDescent="0.25">
      <c r="A374" s="165">
        <f t="shared" ref="A374:A400" si="102">A373+1</f>
        <v>295</v>
      </c>
      <c r="B374" s="75" t="s">
        <v>220</v>
      </c>
      <c r="C374" s="143" t="s">
        <v>190</v>
      </c>
      <c r="D374" s="76"/>
      <c r="E374" s="45">
        <v>699</v>
      </c>
      <c r="F374" s="45">
        <v>624.79999999999995</v>
      </c>
      <c r="G374" s="42">
        <f t="shared" si="100"/>
        <v>1630357.96</v>
      </c>
      <c r="H374" s="35">
        <v>0</v>
      </c>
      <c r="I374" s="35"/>
      <c r="J374" s="35">
        <v>0</v>
      </c>
      <c r="K374" s="35">
        <v>1630357.96</v>
      </c>
      <c r="L374" s="35"/>
      <c r="M374" s="35">
        <v>0</v>
      </c>
      <c r="N374" s="35"/>
      <c r="O374" s="35">
        <v>0</v>
      </c>
      <c r="P374" s="35"/>
      <c r="Q374" s="35">
        <v>0</v>
      </c>
      <c r="R374" s="35"/>
      <c r="S374" s="35">
        <v>0</v>
      </c>
      <c r="T374" s="35">
        <v>0</v>
      </c>
      <c r="U374" s="35">
        <v>0</v>
      </c>
      <c r="V374" s="35">
        <v>0</v>
      </c>
      <c r="W374" s="42">
        <f t="shared" si="101"/>
        <v>1630357.96</v>
      </c>
      <c r="X374" s="165">
        <v>2015</v>
      </c>
      <c r="Y374" s="165">
        <v>2015</v>
      </c>
      <c r="Z374" s="155"/>
      <c r="AA374" s="156"/>
    </row>
    <row r="375" spans="1:28" s="118" customFormat="1" ht="18" customHeight="1" x14ac:dyDescent="0.25">
      <c r="A375" s="165">
        <f t="shared" si="102"/>
        <v>296</v>
      </c>
      <c r="B375" s="75" t="s">
        <v>224</v>
      </c>
      <c r="C375" s="143" t="s">
        <v>194</v>
      </c>
      <c r="D375" s="76"/>
      <c r="E375" s="45">
        <v>514.1</v>
      </c>
      <c r="F375" s="45">
        <v>449.8</v>
      </c>
      <c r="G375" s="42">
        <f t="shared" si="100"/>
        <v>1205510</v>
      </c>
      <c r="H375" s="35">
        <v>0</v>
      </c>
      <c r="I375" s="35"/>
      <c r="J375" s="35">
        <v>0</v>
      </c>
      <c r="K375" s="35">
        <v>1205510</v>
      </c>
      <c r="L375" s="35"/>
      <c r="M375" s="35">
        <v>0</v>
      </c>
      <c r="N375" s="35"/>
      <c r="O375" s="35">
        <v>0</v>
      </c>
      <c r="P375" s="35"/>
      <c r="Q375" s="35">
        <v>0</v>
      </c>
      <c r="R375" s="35"/>
      <c r="S375" s="35">
        <v>0</v>
      </c>
      <c r="T375" s="35">
        <v>0</v>
      </c>
      <c r="U375" s="35">
        <v>0</v>
      </c>
      <c r="V375" s="35">
        <v>0</v>
      </c>
      <c r="W375" s="42">
        <f t="shared" si="101"/>
        <v>1205510</v>
      </c>
      <c r="X375" s="165">
        <v>2015</v>
      </c>
      <c r="Y375" s="165">
        <v>2015</v>
      </c>
      <c r="Z375" s="155"/>
      <c r="AA375" s="155"/>
    </row>
    <row r="376" spans="1:28" s="118" customFormat="1" ht="18" customHeight="1" x14ac:dyDescent="0.25">
      <c r="A376" s="165">
        <f t="shared" si="102"/>
        <v>297</v>
      </c>
      <c r="B376" s="75" t="s">
        <v>221</v>
      </c>
      <c r="C376" s="143" t="s">
        <v>194</v>
      </c>
      <c r="D376" s="76"/>
      <c r="E376" s="45">
        <v>705.6</v>
      </c>
      <c r="F376" s="45">
        <v>643.4</v>
      </c>
      <c r="G376" s="42">
        <f t="shared" si="100"/>
        <v>1672293.7</v>
      </c>
      <c r="H376" s="35">
        <v>0</v>
      </c>
      <c r="I376" s="35"/>
      <c r="J376" s="35">
        <v>0</v>
      </c>
      <c r="K376" s="35">
        <v>1672293.7</v>
      </c>
      <c r="L376" s="35"/>
      <c r="M376" s="35">
        <v>0</v>
      </c>
      <c r="N376" s="35"/>
      <c r="O376" s="35">
        <v>0</v>
      </c>
      <c r="P376" s="35"/>
      <c r="Q376" s="35">
        <v>0</v>
      </c>
      <c r="R376" s="35"/>
      <c r="S376" s="35">
        <v>0</v>
      </c>
      <c r="T376" s="35">
        <v>0</v>
      </c>
      <c r="U376" s="35">
        <v>0</v>
      </c>
      <c r="V376" s="35">
        <v>0</v>
      </c>
      <c r="W376" s="42">
        <f t="shared" si="101"/>
        <v>1672293.7</v>
      </c>
      <c r="X376" s="165">
        <v>2015</v>
      </c>
      <c r="Y376" s="165">
        <v>2015</v>
      </c>
      <c r="Z376" s="155"/>
      <c r="AA376" s="155"/>
    </row>
    <row r="377" spans="1:28" s="118" customFormat="1" ht="18" customHeight="1" x14ac:dyDescent="0.25">
      <c r="A377" s="165">
        <f t="shared" si="102"/>
        <v>298</v>
      </c>
      <c r="B377" s="75" t="s">
        <v>233</v>
      </c>
      <c r="C377" s="143" t="s">
        <v>191</v>
      </c>
      <c r="D377" s="76"/>
      <c r="E377" s="45">
        <v>536.70000000000005</v>
      </c>
      <c r="F377" s="45">
        <v>486.2</v>
      </c>
      <c r="G377" s="42">
        <f t="shared" si="100"/>
        <v>1212925</v>
      </c>
      <c r="H377" s="35">
        <v>0</v>
      </c>
      <c r="I377" s="35"/>
      <c r="J377" s="35">
        <v>0</v>
      </c>
      <c r="K377" s="35">
        <v>1212925</v>
      </c>
      <c r="L377" s="35"/>
      <c r="M377" s="35">
        <v>0</v>
      </c>
      <c r="N377" s="35"/>
      <c r="O377" s="35">
        <v>0</v>
      </c>
      <c r="P377" s="35"/>
      <c r="Q377" s="35">
        <v>0</v>
      </c>
      <c r="R377" s="35"/>
      <c r="S377" s="35">
        <v>0</v>
      </c>
      <c r="T377" s="35">
        <v>0</v>
      </c>
      <c r="U377" s="35">
        <v>0</v>
      </c>
      <c r="V377" s="35">
        <v>0</v>
      </c>
      <c r="W377" s="42">
        <f t="shared" si="101"/>
        <v>1212925</v>
      </c>
      <c r="X377" s="165">
        <v>2015</v>
      </c>
      <c r="Y377" s="165">
        <v>2015</v>
      </c>
      <c r="Z377" s="155"/>
      <c r="AA377" s="155"/>
    </row>
    <row r="378" spans="1:28" s="118" customFormat="1" ht="18" customHeight="1" x14ac:dyDescent="0.25">
      <c r="A378" s="165">
        <f t="shared" si="102"/>
        <v>299</v>
      </c>
      <c r="B378" s="75" t="s">
        <v>236</v>
      </c>
      <c r="C378" s="143" t="s">
        <v>229</v>
      </c>
      <c r="D378" s="76"/>
      <c r="E378" s="45">
        <v>525.29999999999995</v>
      </c>
      <c r="F378" s="45">
        <v>437.3</v>
      </c>
      <c r="G378" s="42">
        <f t="shared" si="100"/>
        <v>1187753</v>
      </c>
      <c r="H378" s="35">
        <v>0</v>
      </c>
      <c r="I378" s="35"/>
      <c r="J378" s="35">
        <v>0</v>
      </c>
      <c r="K378" s="35">
        <v>1187753</v>
      </c>
      <c r="L378" s="35"/>
      <c r="M378" s="35">
        <v>0</v>
      </c>
      <c r="N378" s="35"/>
      <c r="O378" s="35">
        <v>0</v>
      </c>
      <c r="P378" s="35"/>
      <c r="Q378" s="35">
        <v>0</v>
      </c>
      <c r="R378" s="35"/>
      <c r="S378" s="35">
        <v>0</v>
      </c>
      <c r="T378" s="35">
        <v>0</v>
      </c>
      <c r="U378" s="35">
        <v>0</v>
      </c>
      <c r="V378" s="35">
        <v>0</v>
      </c>
      <c r="W378" s="42">
        <f t="shared" si="101"/>
        <v>1187753</v>
      </c>
      <c r="X378" s="165">
        <v>2015</v>
      </c>
      <c r="Y378" s="165">
        <v>2015</v>
      </c>
      <c r="Z378" s="155"/>
      <c r="AA378" s="155"/>
    </row>
    <row r="379" spans="1:28" s="118" customFormat="1" ht="18" customHeight="1" x14ac:dyDescent="0.25">
      <c r="A379" s="165">
        <f t="shared" si="102"/>
        <v>300</v>
      </c>
      <c r="B379" s="75" t="s">
        <v>237</v>
      </c>
      <c r="C379" s="143" t="s">
        <v>191</v>
      </c>
      <c r="D379" s="76"/>
      <c r="E379" s="45">
        <v>645.1</v>
      </c>
      <c r="F379" s="45">
        <v>546.4</v>
      </c>
      <c r="G379" s="42">
        <f t="shared" si="100"/>
        <v>1512691</v>
      </c>
      <c r="H379" s="35">
        <v>0</v>
      </c>
      <c r="I379" s="35"/>
      <c r="J379" s="35">
        <v>0</v>
      </c>
      <c r="K379" s="35">
        <v>1512691</v>
      </c>
      <c r="L379" s="35"/>
      <c r="M379" s="35">
        <v>0</v>
      </c>
      <c r="N379" s="35"/>
      <c r="O379" s="35">
        <v>0</v>
      </c>
      <c r="P379" s="35"/>
      <c r="Q379" s="35">
        <v>0</v>
      </c>
      <c r="R379" s="35"/>
      <c r="S379" s="35">
        <v>0</v>
      </c>
      <c r="T379" s="35">
        <v>0</v>
      </c>
      <c r="U379" s="35">
        <v>0</v>
      </c>
      <c r="V379" s="35">
        <v>0</v>
      </c>
      <c r="W379" s="42">
        <f t="shared" si="101"/>
        <v>1512691</v>
      </c>
      <c r="X379" s="165">
        <v>2015</v>
      </c>
      <c r="Y379" s="165">
        <v>2015</v>
      </c>
      <c r="Z379" s="155"/>
      <c r="AA379" s="155"/>
    </row>
    <row r="380" spans="1:28" s="118" customFormat="1" ht="18" customHeight="1" x14ac:dyDescent="0.25">
      <c r="A380" s="165">
        <f t="shared" si="102"/>
        <v>301</v>
      </c>
      <c r="B380" s="75" t="s">
        <v>504</v>
      </c>
      <c r="C380" s="143" t="s">
        <v>238</v>
      </c>
      <c r="D380" s="76"/>
      <c r="E380" s="45">
        <v>272.5</v>
      </c>
      <c r="F380" s="45">
        <v>272.5</v>
      </c>
      <c r="G380" s="42">
        <f t="shared" si="100"/>
        <v>635582.85</v>
      </c>
      <c r="H380" s="35">
        <v>0</v>
      </c>
      <c r="I380" s="35"/>
      <c r="J380" s="35">
        <v>0</v>
      </c>
      <c r="K380" s="35">
        <v>635582.85</v>
      </c>
      <c r="L380" s="35"/>
      <c r="M380" s="35">
        <v>0</v>
      </c>
      <c r="N380" s="35"/>
      <c r="O380" s="35">
        <v>0</v>
      </c>
      <c r="P380" s="35"/>
      <c r="Q380" s="35">
        <v>0</v>
      </c>
      <c r="R380" s="35"/>
      <c r="S380" s="35">
        <v>0</v>
      </c>
      <c r="T380" s="35">
        <v>0</v>
      </c>
      <c r="U380" s="35">
        <v>0</v>
      </c>
      <c r="V380" s="35">
        <v>0</v>
      </c>
      <c r="W380" s="42">
        <f t="shared" si="101"/>
        <v>635582.85</v>
      </c>
      <c r="X380" s="165">
        <v>2015</v>
      </c>
      <c r="Y380" s="165">
        <v>2015</v>
      </c>
      <c r="Z380" s="155"/>
      <c r="AA380" s="155"/>
    </row>
    <row r="381" spans="1:28" s="118" customFormat="1" ht="18" customHeight="1" x14ac:dyDescent="0.25">
      <c r="A381" s="165">
        <f t="shared" si="102"/>
        <v>302</v>
      </c>
      <c r="B381" s="75" t="s">
        <v>505</v>
      </c>
      <c r="C381" s="143" t="s">
        <v>229</v>
      </c>
      <c r="D381" s="76"/>
      <c r="E381" s="45">
        <v>330.2</v>
      </c>
      <c r="F381" s="45">
        <v>330.2</v>
      </c>
      <c r="G381" s="42">
        <f t="shared" si="100"/>
        <v>770161.7</v>
      </c>
      <c r="H381" s="35">
        <v>0</v>
      </c>
      <c r="I381" s="35"/>
      <c r="J381" s="35">
        <v>0</v>
      </c>
      <c r="K381" s="35">
        <v>770161.7</v>
      </c>
      <c r="L381" s="35"/>
      <c r="M381" s="35">
        <v>0</v>
      </c>
      <c r="N381" s="35"/>
      <c r="O381" s="35">
        <v>0</v>
      </c>
      <c r="P381" s="35"/>
      <c r="Q381" s="35">
        <v>0</v>
      </c>
      <c r="R381" s="35"/>
      <c r="S381" s="35">
        <v>0</v>
      </c>
      <c r="T381" s="35">
        <v>0</v>
      </c>
      <c r="U381" s="35">
        <v>0</v>
      </c>
      <c r="V381" s="35">
        <v>0</v>
      </c>
      <c r="W381" s="42">
        <f t="shared" si="101"/>
        <v>770161.7</v>
      </c>
      <c r="X381" s="165">
        <v>2015</v>
      </c>
      <c r="Y381" s="165">
        <v>2015</v>
      </c>
      <c r="Z381" s="155"/>
      <c r="AA381" s="155"/>
    </row>
    <row r="382" spans="1:28" s="118" customFormat="1" ht="18" customHeight="1" x14ac:dyDescent="0.25">
      <c r="A382" s="165">
        <f t="shared" si="102"/>
        <v>303</v>
      </c>
      <c r="B382" s="75" t="s">
        <v>337</v>
      </c>
      <c r="C382" s="143">
        <v>1970</v>
      </c>
      <c r="D382" s="25"/>
      <c r="E382" s="45">
        <v>3752.9</v>
      </c>
      <c r="F382" s="45">
        <v>3202.1</v>
      </c>
      <c r="G382" s="42">
        <f t="shared" ref="G382:G400" si="103">H382+J382+K382+M382+O382+Q382+S382</f>
        <v>1658815.88</v>
      </c>
      <c r="H382" s="54">
        <f>ROUND(518.04*F382,2)</f>
        <v>1658815.88</v>
      </c>
      <c r="I382" s="35">
        <f t="shared" ref="I382:I390" si="104">H382/F382</f>
        <v>518.03999875081979</v>
      </c>
      <c r="J382" s="35">
        <v>0</v>
      </c>
      <c r="K382" s="35">
        <v>0</v>
      </c>
      <c r="L382" s="35">
        <f>K382/F382</f>
        <v>0</v>
      </c>
      <c r="M382" s="35">
        <v>0</v>
      </c>
      <c r="N382" s="35"/>
      <c r="O382" s="35">
        <v>0</v>
      </c>
      <c r="P382" s="35">
        <f>O382/F382</f>
        <v>0</v>
      </c>
      <c r="Q382" s="35">
        <v>0</v>
      </c>
      <c r="R382" s="35"/>
      <c r="S382" s="35">
        <v>0</v>
      </c>
      <c r="T382" s="35">
        <v>0</v>
      </c>
      <c r="U382" s="35">
        <v>0</v>
      </c>
      <c r="V382" s="35">
        <v>0</v>
      </c>
      <c r="W382" s="42">
        <f t="shared" si="101"/>
        <v>1658815.88</v>
      </c>
      <c r="X382" s="165">
        <v>2016</v>
      </c>
      <c r="Y382" s="165">
        <v>2016</v>
      </c>
      <c r="Z382" s="155">
        <f>Z367+1</f>
        <v>144</v>
      </c>
      <c r="AA382" s="155">
        <f>AA367+1</f>
        <v>1</v>
      </c>
    </row>
    <row r="383" spans="1:28" s="118" customFormat="1" ht="18" customHeight="1" x14ac:dyDescent="0.25">
      <c r="A383" s="165">
        <f t="shared" si="102"/>
        <v>304</v>
      </c>
      <c r="B383" s="75" t="s">
        <v>228</v>
      </c>
      <c r="C383" s="143" t="s">
        <v>194</v>
      </c>
      <c r="D383" s="76"/>
      <c r="E383" s="45">
        <v>507.9</v>
      </c>
      <c r="F383" s="45">
        <v>438.5</v>
      </c>
      <c r="G383" s="42">
        <f t="shared" si="103"/>
        <v>1562055.4</v>
      </c>
      <c r="H383" s="35">
        <v>0</v>
      </c>
      <c r="I383" s="35">
        <f t="shared" si="104"/>
        <v>0</v>
      </c>
      <c r="J383" s="35">
        <v>0</v>
      </c>
      <c r="K383" s="35">
        <f>ROUND(3562.27*F383,2)</f>
        <v>1562055.4</v>
      </c>
      <c r="L383" s="35">
        <f>K383/F383</f>
        <v>3562.2700114025083</v>
      </c>
      <c r="M383" s="35">
        <v>0</v>
      </c>
      <c r="N383" s="35"/>
      <c r="O383" s="35">
        <v>0</v>
      </c>
      <c r="P383" s="35"/>
      <c r="Q383" s="35">
        <v>0</v>
      </c>
      <c r="R383" s="35"/>
      <c r="S383" s="35">
        <v>0</v>
      </c>
      <c r="T383" s="35">
        <v>0</v>
      </c>
      <c r="U383" s="35">
        <v>0</v>
      </c>
      <c r="V383" s="35">
        <v>0</v>
      </c>
      <c r="W383" s="42">
        <f t="shared" si="101"/>
        <v>1562055.4</v>
      </c>
      <c r="X383" s="165">
        <v>2015</v>
      </c>
      <c r="Y383" s="165">
        <v>2016</v>
      </c>
      <c r="Z383" s="155">
        <f>Z382+1</f>
        <v>145</v>
      </c>
      <c r="AA383" s="155">
        <f>AA382+1</f>
        <v>2</v>
      </c>
    </row>
    <row r="384" spans="1:28" s="118" customFormat="1" ht="18" customHeight="1" x14ac:dyDescent="0.25">
      <c r="A384" s="165">
        <f t="shared" si="102"/>
        <v>305</v>
      </c>
      <c r="B384" s="75" t="s">
        <v>346</v>
      </c>
      <c r="C384" s="143">
        <v>1954</v>
      </c>
      <c r="D384" s="25"/>
      <c r="E384" s="45">
        <v>1233</v>
      </c>
      <c r="F384" s="45">
        <v>1143.4000000000001</v>
      </c>
      <c r="G384" s="42">
        <f t="shared" si="103"/>
        <v>1823963.11</v>
      </c>
      <c r="H384" s="35">
        <v>0</v>
      </c>
      <c r="I384" s="35">
        <f t="shared" si="104"/>
        <v>0</v>
      </c>
      <c r="J384" s="35">
        <v>0</v>
      </c>
      <c r="K384" s="35">
        <f>ROUND(1595.21*F384,2)</f>
        <v>1823963.11</v>
      </c>
      <c r="L384" s="35">
        <f>K384/F384</f>
        <v>1595.2099965016616</v>
      </c>
      <c r="M384" s="35">
        <v>0</v>
      </c>
      <c r="N384" s="35"/>
      <c r="O384" s="35">
        <v>0</v>
      </c>
      <c r="P384" s="35">
        <f>O384/F384</f>
        <v>0</v>
      </c>
      <c r="Q384" s="35">
        <v>0</v>
      </c>
      <c r="R384" s="35"/>
      <c r="S384" s="35">
        <v>0</v>
      </c>
      <c r="T384" s="35">
        <v>0</v>
      </c>
      <c r="U384" s="35">
        <v>0</v>
      </c>
      <c r="V384" s="35">
        <v>0</v>
      </c>
      <c r="W384" s="42">
        <f t="shared" si="101"/>
        <v>1823963.11</v>
      </c>
      <c r="X384" s="165">
        <v>2016</v>
      </c>
      <c r="Y384" s="165">
        <v>2016</v>
      </c>
      <c r="Z384" s="155">
        <f t="shared" ref="Z384:Z400" si="105">Z383+1</f>
        <v>146</v>
      </c>
      <c r="AA384" s="155">
        <f t="shared" ref="AA384:AA388" si="106">AA383+1</f>
        <v>3</v>
      </c>
    </row>
    <row r="385" spans="1:27" s="118" customFormat="1" ht="18" customHeight="1" x14ac:dyDescent="0.25">
      <c r="A385" s="165">
        <f>A384+1</f>
        <v>306</v>
      </c>
      <c r="B385" s="75" t="s">
        <v>222</v>
      </c>
      <c r="C385" s="143" t="s">
        <v>223</v>
      </c>
      <c r="D385" s="76"/>
      <c r="E385" s="45">
        <v>1002.9</v>
      </c>
      <c r="F385" s="45">
        <v>910.3</v>
      </c>
      <c r="G385" s="42">
        <f t="shared" si="103"/>
        <v>625558.16</v>
      </c>
      <c r="H385" s="35">
        <f>ROUND(687.2*F385,2)</f>
        <v>625558.16</v>
      </c>
      <c r="I385" s="35">
        <f t="shared" si="104"/>
        <v>687.2</v>
      </c>
      <c r="J385" s="35">
        <v>0</v>
      </c>
      <c r="K385" s="35">
        <v>0</v>
      </c>
      <c r="L385" s="35"/>
      <c r="M385" s="35">
        <v>0</v>
      </c>
      <c r="N385" s="35"/>
      <c r="O385" s="35">
        <v>0</v>
      </c>
      <c r="P385" s="35"/>
      <c r="Q385" s="35">
        <v>0</v>
      </c>
      <c r="R385" s="35"/>
      <c r="S385" s="35">
        <v>0</v>
      </c>
      <c r="T385" s="35">
        <v>0</v>
      </c>
      <c r="U385" s="35">
        <v>0</v>
      </c>
      <c r="V385" s="35">
        <v>0</v>
      </c>
      <c r="W385" s="42">
        <f t="shared" si="101"/>
        <v>625558.16</v>
      </c>
      <c r="X385" s="165">
        <v>2015</v>
      </c>
      <c r="Y385" s="165">
        <v>2016</v>
      </c>
      <c r="Z385" s="155">
        <f t="shared" si="105"/>
        <v>147</v>
      </c>
      <c r="AA385" s="155">
        <f t="shared" si="106"/>
        <v>4</v>
      </c>
    </row>
    <row r="386" spans="1:27" s="118" customFormat="1" ht="18" customHeight="1" x14ac:dyDescent="0.25">
      <c r="A386" s="165">
        <f>A385+1</f>
        <v>307</v>
      </c>
      <c r="B386" s="75" t="s">
        <v>347</v>
      </c>
      <c r="C386" s="143">
        <v>1969</v>
      </c>
      <c r="D386" s="25"/>
      <c r="E386" s="45">
        <v>2178.5</v>
      </c>
      <c r="F386" s="45">
        <v>1290.9000000000001</v>
      </c>
      <c r="G386" s="42">
        <f t="shared" si="103"/>
        <v>668737.84</v>
      </c>
      <c r="H386" s="54">
        <f>ROUND(518.04*F386,2)</f>
        <v>668737.84</v>
      </c>
      <c r="I386" s="35">
        <f t="shared" si="104"/>
        <v>518.04000309861328</v>
      </c>
      <c r="J386" s="35">
        <v>0</v>
      </c>
      <c r="K386" s="35">
        <v>0</v>
      </c>
      <c r="L386" s="35">
        <f t="shared" ref="L386:L400" si="107">K386/F386</f>
        <v>0</v>
      </c>
      <c r="M386" s="35">
        <v>0</v>
      </c>
      <c r="N386" s="35"/>
      <c r="O386" s="35">
        <v>0</v>
      </c>
      <c r="P386" s="35">
        <f t="shared" ref="P386:P400" si="108">O386/F386</f>
        <v>0</v>
      </c>
      <c r="Q386" s="35">
        <v>0</v>
      </c>
      <c r="R386" s="35"/>
      <c r="S386" s="35">
        <v>0</v>
      </c>
      <c r="T386" s="35">
        <v>0</v>
      </c>
      <c r="U386" s="35">
        <v>0</v>
      </c>
      <c r="V386" s="35">
        <v>0</v>
      </c>
      <c r="W386" s="42">
        <f t="shared" si="101"/>
        <v>668737.84</v>
      </c>
      <c r="X386" s="165">
        <v>2016</v>
      </c>
      <c r="Y386" s="165">
        <v>2016</v>
      </c>
      <c r="Z386" s="155">
        <f t="shared" si="105"/>
        <v>148</v>
      </c>
      <c r="AA386" s="155">
        <f t="shared" si="106"/>
        <v>5</v>
      </c>
    </row>
    <row r="387" spans="1:27" s="118" customFormat="1" ht="18" customHeight="1" x14ac:dyDescent="0.25">
      <c r="A387" s="165">
        <f t="shared" si="102"/>
        <v>308</v>
      </c>
      <c r="B387" s="75" t="s">
        <v>336</v>
      </c>
      <c r="C387" s="143">
        <v>1959</v>
      </c>
      <c r="D387" s="25"/>
      <c r="E387" s="45">
        <v>1475.4</v>
      </c>
      <c r="F387" s="45">
        <v>1316.9</v>
      </c>
      <c r="G387" s="42">
        <f t="shared" si="103"/>
        <v>1161637.49</v>
      </c>
      <c r="H387" s="35">
        <v>0</v>
      </c>
      <c r="I387" s="35">
        <f t="shared" si="104"/>
        <v>0</v>
      </c>
      <c r="J387" s="35">
        <v>0</v>
      </c>
      <c r="K387" s="35">
        <v>0</v>
      </c>
      <c r="L387" s="35">
        <f t="shared" si="107"/>
        <v>0</v>
      </c>
      <c r="M387" s="35">
        <v>0</v>
      </c>
      <c r="N387" s="35"/>
      <c r="O387" s="35">
        <f>ROUND(882.1*F387,2)</f>
        <v>1161637.49</v>
      </c>
      <c r="P387" s="35">
        <f t="shared" si="108"/>
        <v>882.09999999999991</v>
      </c>
      <c r="Q387" s="35">
        <v>0</v>
      </c>
      <c r="R387" s="35"/>
      <c r="S387" s="35">
        <v>0</v>
      </c>
      <c r="T387" s="35">
        <v>0</v>
      </c>
      <c r="U387" s="35">
        <v>0</v>
      </c>
      <c r="V387" s="35">
        <v>0</v>
      </c>
      <c r="W387" s="42">
        <f t="shared" si="101"/>
        <v>1161637.49</v>
      </c>
      <c r="X387" s="165">
        <v>2016</v>
      </c>
      <c r="Y387" s="165">
        <v>2016</v>
      </c>
      <c r="Z387" s="155">
        <f t="shared" si="105"/>
        <v>149</v>
      </c>
      <c r="AA387" s="155">
        <f t="shared" si="106"/>
        <v>6</v>
      </c>
    </row>
    <row r="388" spans="1:27" s="118" customFormat="1" ht="18" customHeight="1" x14ac:dyDescent="0.25">
      <c r="A388" s="165">
        <f t="shared" si="102"/>
        <v>309</v>
      </c>
      <c r="B388" s="75" t="s">
        <v>230</v>
      </c>
      <c r="C388" s="143" t="s">
        <v>225</v>
      </c>
      <c r="D388" s="76"/>
      <c r="E388" s="45">
        <v>1216.0999999999999</v>
      </c>
      <c r="F388" s="45">
        <v>1097.7</v>
      </c>
      <c r="G388" s="42">
        <f t="shared" si="103"/>
        <v>968281.17</v>
      </c>
      <c r="H388" s="35">
        <v>0</v>
      </c>
      <c r="I388" s="35">
        <f t="shared" si="104"/>
        <v>0</v>
      </c>
      <c r="J388" s="35">
        <v>0</v>
      </c>
      <c r="K388" s="35">
        <v>0</v>
      </c>
      <c r="L388" s="35">
        <f t="shared" si="107"/>
        <v>0</v>
      </c>
      <c r="M388" s="35">
        <v>0</v>
      </c>
      <c r="N388" s="35"/>
      <c r="O388" s="35">
        <f>ROUND(882.1*F388,2)</f>
        <v>968281.17</v>
      </c>
      <c r="P388" s="35">
        <f t="shared" si="108"/>
        <v>882.1</v>
      </c>
      <c r="Q388" s="35">
        <v>0</v>
      </c>
      <c r="R388" s="35"/>
      <c r="S388" s="35">
        <v>0</v>
      </c>
      <c r="T388" s="35">
        <v>0</v>
      </c>
      <c r="U388" s="35">
        <v>0</v>
      </c>
      <c r="V388" s="35">
        <v>0</v>
      </c>
      <c r="W388" s="42">
        <f t="shared" si="101"/>
        <v>968281.17</v>
      </c>
      <c r="X388" s="165">
        <v>2015</v>
      </c>
      <c r="Y388" s="165">
        <v>2016</v>
      </c>
      <c r="Z388" s="155">
        <f t="shared" si="105"/>
        <v>150</v>
      </c>
      <c r="AA388" s="155">
        <f t="shared" si="106"/>
        <v>7</v>
      </c>
    </row>
    <row r="389" spans="1:27" s="118" customFormat="1" ht="18" customHeight="1" x14ac:dyDescent="0.25">
      <c r="A389" s="165">
        <f t="shared" si="102"/>
        <v>310</v>
      </c>
      <c r="B389" s="75" t="s">
        <v>338</v>
      </c>
      <c r="C389" s="143">
        <v>1963</v>
      </c>
      <c r="D389" s="25"/>
      <c r="E389" s="45">
        <v>1389.3</v>
      </c>
      <c r="F389" s="45">
        <v>1290.9000000000001</v>
      </c>
      <c r="G389" s="42">
        <f t="shared" si="103"/>
        <v>2059256.59</v>
      </c>
      <c r="H389" s="35">
        <v>0</v>
      </c>
      <c r="I389" s="35">
        <f t="shared" si="104"/>
        <v>0</v>
      </c>
      <c r="J389" s="35">
        <v>0</v>
      </c>
      <c r="K389" s="35">
        <f>ROUND(1595.21*F389,2)</f>
        <v>2059256.59</v>
      </c>
      <c r="L389" s="35">
        <f t="shared" si="107"/>
        <v>1595.2100007746533</v>
      </c>
      <c r="M389" s="35">
        <v>0</v>
      </c>
      <c r="N389" s="35"/>
      <c r="O389" s="35">
        <v>0</v>
      </c>
      <c r="P389" s="35">
        <f t="shared" si="108"/>
        <v>0</v>
      </c>
      <c r="Q389" s="35">
        <v>0</v>
      </c>
      <c r="R389" s="35"/>
      <c r="S389" s="35">
        <v>0</v>
      </c>
      <c r="T389" s="35">
        <v>0</v>
      </c>
      <c r="U389" s="35">
        <v>0</v>
      </c>
      <c r="V389" s="35">
        <v>0</v>
      </c>
      <c r="W389" s="42">
        <f t="shared" si="101"/>
        <v>2059256.59</v>
      </c>
      <c r="X389" s="165">
        <v>2016</v>
      </c>
      <c r="Y389" s="165">
        <v>2016</v>
      </c>
      <c r="Z389" s="155">
        <f t="shared" si="105"/>
        <v>151</v>
      </c>
      <c r="AA389" s="155">
        <f t="shared" ref="AA389:AA400" si="109">AA388+1</f>
        <v>8</v>
      </c>
    </row>
    <row r="390" spans="1:27" s="118" customFormat="1" ht="18" customHeight="1" x14ac:dyDescent="0.25">
      <c r="A390" s="165">
        <f>A389+1</f>
        <v>311</v>
      </c>
      <c r="B390" s="75" t="s">
        <v>231</v>
      </c>
      <c r="C390" s="143" t="s">
        <v>232</v>
      </c>
      <c r="D390" s="76"/>
      <c r="E390" s="45">
        <v>479.4</v>
      </c>
      <c r="F390" s="45">
        <v>377.2</v>
      </c>
      <c r="G390" s="42">
        <f t="shared" si="103"/>
        <v>308572.23</v>
      </c>
      <c r="H390" s="35">
        <f>ROUND(818.06*F390,2)</f>
        <v>308572.23</v>
      </c>
      <c r="I390" s="35">
        <f t="shared" si="104"/>
        <v>818.05999469777305</v>
      </c>
      <c r="J390" s="35">
        <v>0</v>
      </c>
      <c r="K390" s="35">
        <v>0</v>
      </c>
      <c r="L390" s="35">
        <f t="shared" si="107"/>
        <v>0</v>
      </c>
      <c r="M390" s="35">
        <v>0</v>
      </c>
      <c r="N390" s="35"/>
      <c r="O390" s="35">
        <v>0</v>
      </c>
      <c r="P390" s="35">
        <f t="shared" si="108"/>
        <v>0</v>
      </c>
      <c r="Q390" s="35">
        <v>0</v>
      </c>
      <c r="R390" s="35"/>
      <c r="S390" s="35">
        <v>0</v>
      </c>
      <c r="T390" s="35">
        <v>0</v>
      </c>
      <c r="U390" s="35">
        <v>0</v>
      </c>
      <c r="V390" s="35">
        <v>0</v>
      </c>
      <c r="W390" s="42">
        <f t="shared" si="101"/>
        <v>308572.23</v>
      </c>
      <c r="X390" s="165">
        <v>2015</v>
      </c>
      <c r="Y390" s="165">
        <v>2016</v>
      </c>
      <c r="Z390" s="155">
        <f t="shared" si="105"/>
        <v>152</v>
      </c>
      <c r="AA390" s="155">
        <f t="shared" si="109"/>
        <v>9</v>
      </c>
    </row>
    <row r="391" spans="1:27" s="118" customFormat="1" ht="18" customHeight="1" x14ac:dyDescent="0.3">
      <c r="A391" s="165">
        <f t="shared" si="102"/>
        <v>312</v>
      </c>
      <c r="B391" s="75" t="s">
        <v>341</v>
      </c>
      <c r="C391" s="143">
        <v>1960</v>
      </c>
      <c r="D391" s="25"/>
      <c r="E391" s="45">
        <v>1695</v>
      </c>
      <c r="F391" s="45">
        <v>1621.4</v>
      </c>
      <c r="G391" s="42">
        <f t="shared" si="103"/>
        <v>1430236.94</v>
      </c>
      <c r="H391" s="35">
        <v>0</v>
      </c>
      <c r="I391" s="35"/>
      <c r="J391" s="35">
        <v>0</v>
      </c>
      <c r="K391" s="35">
        <v>0</v>
      </c>
      <c r="L391" s="35">
        <f t="shared" si="107"/>
        <v>0</v>
      </c>
      <c r="M391" s="35">
        <v>0</v>
      </c>
      <c r="N391" s="35"/>
      <c r="O391" s="77">
        <f>ROUND(882.1*F391,2)</f>
        <v>1430236.94</v>
      </c>
      <c r="P391" s="35">
        <f t="shared" si="108"/>
        <v>882.09999999999991</v>
      </c>
      <c r="Q391" s="35">
        <v>0</v>
      </c>
      <c r="R391" s="35"/>
      <c r="S391" s="35">
        <v>0</v>
      </c>
      <c r="T391" s="35">
        <v>0</v>
      </c>
      <c r="U391" s="35">
        <v>0</v>
      </c>
      <c r="V391" s="35">
        <v>0</v>
      </c>
      <c r="W391" s="42">
        <f t="shared" si="101"/>
        <v>1430236.94</v>
      </c>
      <c r="X391" s="165">
        <v>2016</v>
      </c>
      <c r="Y391" s="165">
        <v>2016</v>
      </c>
      <c r="Z391" s="155">
        <f t="shared" si="105"/>
        <v>153</v>
      </c>
      <c r="AA391" s="155">
        <f t="shared" si="109"/>
        <v>10</v>
      </c>
    </row>
    <row r="392" spans="1:27" s="118" customFormat="1" ht="18" customHeight="1" x14ac:dyDescent="0.3">
      <c r="A392" s="165">
        <f t="shared" si="102"/>
        <v>313</v>
      </c>
      <c r="B392" s="75" t="s">
        <v>343</v>
      </c>
      <c r="C392" s="143">
        <v>1980</v>
      </c>
      <c r="D392" s="25"/>
      <c r="E392" s="45">
        <v>7486.4</v>
      </c>
      <c r="F392" s="45">
        <v>6764.4</v>
      </c>
      <c r="G392" s="42">
        <f t="shared" si="103"/>
        <v>6186314.3799999999</v>
      </c>
      <c r="H392" s="35">
        <v>0</v>
      </c>
      <c r="I392" s="35"/>
      <c r="J392" s="35">
        <v>0</v>
      </c>
      <c r="K392" s="77">
        <f>ROUND(914.54*F392,2)</f>
        <v>6186314.3799999999</v>
      </c>
      <c r="L392" s="35">
        <f t="shared" si="107"/>
        <v>914.54000059133114</v>
      </c>
      <c r="M392" s="35">
        <v>0</v>
      </c>
      <c r="N392" s="35"/>
      <c r="O392" s="35">
        <v>0</v>
      </c>
      <c r="P392" s="35">
        <f t="shared" si="108"/>
        <v>0</v>
      </c>
      <c r="Q392" s="35">
        <v>0</v>
      </c>
      <c r="R392" s="35"/>
      <c r="S392" s="35">
        <v>0</v>
      </c>
      <c r="T392" s="35">
        <v>0</v>
      </c>
      <c r="U392" s="35">
        <v>0</v>
      </c>
      <c r="V392" s="35">
        <v>0</v>
      </c>
      <c r="W392" s="42">
        <f t="shared" si="101"/>
        <v>6186314.3799999999</v>
      </c>
      <c r="X392" s="165">
        <v>2016</v>
      </c>
      <c r="Y392" s="165">
        <v>2016</v>
      </c>
      <c r="Z392" s="155">
        <f t="shared" si="105"/>
        <v>154</v>
      </c>
      <c r="AA392" s="155">
        <f t="shared" si="109"/>
        <v>11</v>
      </c>
    </row>
    <row r="393" spans="1:27" s="118" customFormat="1" ht="18" customHeight="1" x14ac:dyDescent="0.25">
      <c r="A393" s="165">
        <f t="shared" si="102"/>
        <v>314</v>
      </c>
      <c r="B393" s="75" t="s">
        <v>234</v>
      </c>
      <c r="C393" s="143" t="s">
        <v>235</v>
      </c>
      <c r="D393" s="76"/>
      <c r="E393" s="45">
        <v>645.5</v>
      </c>
      <c r="F393" s="45">
        <v>574.6</v>
      </c>
      <c r="G393" s="42">
        <f t="shared" si="103"/>
        <v>2046880.34</v>
      </c>
      <c r="H393" s="35">
        <v>0</v>
      </c>
      <c r="I393" s="35">
        <f>H393/F393</f>
        <v>0</v>
      </c>
      <c r="J393" s="35">
        <v>0</v>
      </c>
      <c r="K393" s="35">
        <f>ROUND(3562.27*F393,2)</f>
        <v>2046880.34</v>
      </c>
      <c r="L393" s="35">
        <f t="shared" si="107"/>
        <v>3562.2699965193178</v>
      </c>
      <c r="M393" s="35">
        <v>0</v>
      </c>
      <c r="N393" s="35"/>
      <c r="O393" s="35">
        <v>0</v>
      </c>
      <c r="P393" s="35">
        <f t="shared" si="108"/>
        <v>0</v>
      </c>
      <c r="Q393" s="35">
        <v>0</v>
      </c>
      <c r="R393" s="35"/>
      <c r="S393" s="35">
        <v>0</v>
      </c>
      <c r="T393" s="35">
        <v>0</v>
      </c>
      <c r="U393" s="35">
        <v>0</v>
      </c>
      <c r="V393" s="35">
        <v>0</v>
      </c>
      <c r="W393" s="42">
        <f t="shared" si="101"/>
        <v>2046880.34</v>
      </c>
      <c r="X393" s="165">
        <v>2015</v>
      </c>
      <c r="Y393" s="165">
        <v>2016</v>
      </c>
      <c r="Z393" s="155">
        <f t="shared" si="105"/>
        <v>155</v>
      </c>
      <c r="AA393" s="155">
        <f t="shared" si="109"/>
        <v>12</v>
      </c>
    </row>
    <row r="394" spans="1:27" s="118" customFormat="1" ht="18" customHeight="1" x14ac:dyDescent="0.3">
      <c r="A394" s="165">
        <f t="shared" si="102"/>
        <v>315</v>
      </c>
      <c r="B394" s="75" t="s">
        <v>342</v>
      </c>
      <c r="C394" s="143">
        <v>1973</v>
      </c>
      <c r="D394" s="25"/>
      <c r="E394" s="45">
        <v>3918.1</v>
      </c>
      <c r="F394" s="45">
        <v>3441.7</v>
      </c>
      <c r="G394" s="42">
        <f t="shared" si="103"/>
        <v>3196169.12</v>
      </c>
      <c r="H394" s="35">
        <v>0</v>
      </c>
      <c r="I394" s="35"/>
      <c r="J394" s="35">
        <v>0</v>
      </c>
      <c r="K394" s="77">
        <f>ROUND(928.66*F394,2)</f>
        <v>3196169.12</v>
      </c>
      <c r="L394" s="35">
        <f t="shared" si="107"/>
        <v>928.65999941889186</v>
      </c>
      <c r="M394" s="35">
        <v>0</v>
      </c>
      <c r="N394" s="35"/>
      <c r="O394" s="35">
        <v>0</v>
      </c>
      <c r="P394" s="35">
        <f t="shared" si="108"/>
        <v>0</v>
      </c>
      <c r="Q394" s="35">
        <v>0</v>
      </c>
      <c r="R394" s="35"/>
      <c r="S394" s="35">
        <v>0</v>
      </c>
      <c r="T394" s="35">
        <v>0</v>
      </c>
      <c r="U394" s="35">
        <v>0</v>
      </c>
      <c r="V394" s="35">
        <v>0</v>
      </c>
      <c r="W394" s="42">
        <f t="shared" si="101"/>
        <v>3196169.12</v>
      </c>
      <c r="X394" s="165">
        <v>2016</v>
      </c>
      <c r="Y394" s="165">
        <v>2016</v>
      </c>
      <c r="Z394" s="155">
        <f t="shared" si="105"/>
        <v>156</v>
      </c>
      <c r="AA394" s="155">
        <f t="shared" si="109"/>
        <v>13</v>
      </c>
    </row>
    <row r="395" spans="1:27" s="118" customFormat="1" ht="18" customHeight="1" x14ac:dyDescent="0.25">
      <c r="A395" s="165">
        <f t="shared" si="102"/>
        <v>316</v>
      </c>
      <c r="B395" s="75" t="s">
        <v>340</v>
      </c>
      <c r="C395" s="143">
        <v>1969</v>
      </c>
      <c r="D395" s="25"/>
      <c r="E395" s="45">
        <v>4379.8</v>
      </c>
      <c r="F395" s="45">
        <v>4106.5</v>
      </c>
      <c r="G395" s="42">
        <f t="shared" si="103"/>
        <v>2028446.74</v>
      </c>
      <c r="H395" s="54">
        <f>ROUND(493.96*F395,2)</f>
        <v>2028446.74</v>
      </c>
      <c r="I395" s="35">
        <f t="shared" ref="I395:I400" si="110">H395/F395</f>
        <v>493.96</v>
      </c>
      <c r="J395" s="35">
        <v>0</v>
      </c>
      <c r="K395" s="35">
        <v>0</v>
      </c>
      <c r="L395" s="35">
        <f t="shared" si="107"/>
        <v>0</v>
      </c>
      <c r="M395" s="35">
        <v>0</v>
      </c>
      <c r="N395" s="35"/>
      <c r="O395" s="35">
        <v>0</v>
      </c>
      <c r="P395" s="35">
        <f t="shared" si="108"/>
        <v>0</v>
      </c>
      <c r="Q395" s="35">
        <v>0</v>
      </c>
      <c r="R395" s="35"/>
      <c r="S395" s="35">
        <v>0</v>
      </c>
      <c r="T395" s="35">
        <v>0</v>
      </c>
      <c r="U395" s="35">
        <v>0</v>
      </c>
      <c r="V395" s="35">
        <v>0</v>
      </c>
      <c r="W395" s="42">
        <f t="shared" si="101"/>
        <v>2028446.74</v>
      </c>
      <c r="X395" s="165">
        <v>2016</v>
      </c>
      <c r="Y395" s="165">
        <v>2016</v>
      </c>
      <c r="Z395" s="155">
        <f t="shared" si="105"/>
        <v>157</v>
      </c>
      <c r="AA395" s="155">
        <f t="shared" si="109"/>
        <v>14</v>
      </c>
    </row>
    <row r="396" spans="1:27" s="118" customFormat="1" ht="18" customHeight="1" x14ac:dyDescent="0.25">
      <c r="A396" s="165">
        <f t="shared" si="102"/>
        <v>317</v>
      </c>
      <c r="B396" s="75" t="s">
        <v>339</v>
      </c>
      <c r="C396" s="143">
        <v>1962</v>
      </c>
      <c r="D396" s="25"/>
      <c r="E396" s="45">
        <v>5505.6</v>
      </c>
      <c r="F396" s="45">
        <v>4837.3999999999996</v>
      </c>
      <c r="G396" s="42">
        <f t="shared" si="103"/>
        <v>2505966.7000000002</v>
      </c>
      <c r="H396" s="54">
        <f>ROUND(518.04*F396,2)</f>
        <v>2505966.7000000002</v>
      </c>
      <c r="I396" s="35">
        <f t="shared" si="110"/>
        <v>518.0400008268906</v>
      </c>
      <c r="J396" s="35">
        <v>0</v>
      </c>
      <c r="K396" s="35">
        <v>0</v>
      </c>
      <c r="L396" s="35">
        <f t="shared" si="107"/>
        <v>0</v>
      </c>
      <c r="M396" s="35">
        <v>0</v>
      </c>
      <c r="N396" s="35"/>
      <c r="O396" s="35">
        <v>0</v>
      </c>
      <c r="P396" s="35">
        <f t="shared" si="108"/>
        <v>0</v>
      </c>
      <c r="Q396" s="35">
        <v>0</v>
      </c>
      <c r="R396" s="35"/>
      <c r="S396" s="35">
        <v>0</v>
      </c>
      <c r="T396" s="35">
        <v>0</v>
      </c>
      <c r="U396" s="35">
        <v>0</v>
      </c>
      <c r="V396" s="35">
        <v>0</v>
      </c>
      <c r="W396" s="42">
        <f t="shared" si="101"/>
        <v>2505966.7000000002</v>
      </c>
      <c r="X396" s="165">
        <v>2016</v>
      </c>
      <c r="Y396" s="165">
        <v>2016</v>
      </c>
      <c r="Z396" s="155">
        <f t="shared" si="105"/>
        <v>158</v>
      </c>
      <c r="AA396" s="155">
        <f t="shared" si="109"/>
        <v>15</v>
      </c>
    </row>
    <row r="397" spans="1:27" s="118" customFormat="1" ht="18" customHeight="1" x14ac:dyDescent="0.25">
      <c r="A397" s="165">
        <f t="shared" si="102"/>
        <v>318</v>
      </c>
      <c r="B397" s="75" t="s">
        <v>506</v>
      </c>
      <c r="C397" s="143" t="s">
        <v>232</v>
      </c>
      <c r="D397" s="76"/>
      <c r="E397" s="45">
        <v>255.4</v>
      </c>
      <c r="F397" s="45">
        <v>255.4</v>
      </c>
      <c r="G397" s="42">
        <f t="shared" si="103"/>
        <v>655499.42000000004</v>
      </c>
      <c r="H397" s="35">
        <v>0</v>
      </c>
      <c r="I397" s="35">
        <f t="shared" si="110"/>
        <v>0</v>
      </c>
      <c r="J397" s="35">
        <v>0</v>
      </c>
      <c r="K397" s="35">
        <v>0</v>
      </c>
      <c r="L397" s="35">
        <f t="shared" si="107"/>
        <v>0</v>
      </c>
      <c r="M397" s="35">
        <v>0</v>
      </c>
      <c r="N397" s="35"/>
      <c r="O397" s="35">
        <f>ROUND(2566.56*F397,2)</f>
        <v>655499.42000000004</v>
      </c>
      <c r="P397" s="35">
        <f t="shared" si="108"/>
        <v>2566.5599843382929</v>
      </c>
      <c r="Q397" s="35">
        <v>0</v>
      </c>
      <c r="R397" s="35"/>
      <c r="S397" s="35">
        <v>0</v>
      </c>
      <c r="T397" s="35">
        <v>0</v>
      </c>
      <c r="U397" s="35">
        <v>0</v>
      </c>
      <c r="V397" s="35">
        <v>0</v>
      </c>
      <c r="W397" s="42">
        <f t="shared" si="101"/>
        <v>655499.42000000004</v>
      </c>
      <c r="X397" s="165">
        <v>2015</v>
      </c>
      <c r="Y397" s="165">
        <v>2016</v>
      </c>
      <c r="Z397" s="155">
        <f t="shared" si="105"/>
        <v>159</v>
      </c>
      <c r="AA397" s="155">
        <f t="shared" si="109"/>
        <v>16</v>
      </c>
    </row>
    <row r="398" spans="1:27" s="118" customFormat="1" ht="18" customHeight="1" x14ac:dyDescent="0.25">
      <c r="A398" s="165">
        <f t="shared" si="102"/>
        <v>319</v>
      </c>
      <c r="B398" s="75" t="s">
        <v>507</v>
      </c>
      <c r="C398" s="143" t="s">
        <v>238</v>
      </c>
      <c r="D398" s="76"/>
      <c r="E398" s="45">
        <v>330.2</v>
      </c>
      <c r="F398" s="45">
        <v>330.2</v>
      </c>
      <c r="G398" s="42">
        <f t="shared" si="103"/>
        <v>847478.11</v>
      </c>
      <c r="H398" s="35">
        <v>0</v>
      </c>
      <c r="I398" s="35">
        <f t="shared" si="110"/>
        <v>0</v>
      </c>
      <c r="J398" s="35">
        <v>0</v>
      </c>
      <c r="K398" s="35">
        <v>0</v>
      </c>
      <c r="L398" s="35">
        <f t="shared" si="107"/>
        <v>0</v>
      </c>
      <c r="M398" s="35">
        <v>0</v>
      </c>
      <c r="N398" s="35"/>
      <c r="O398" s="35">
        <f>ROUND(2566.56*F398,2)</f>
        <v>847478.11</v>
      </c>
      <c r="P398" s="35">
        <f t="shared" si="108"/>
        <v>2566.5599939430649</v>
      </c>
      <c r="Q398" s="35">
        <v>0</v>
      </c>
      <c r="R398" s="35"/>
      <c r="S398" s="35">
        <v>0</v>
      </c>
      <c r="T398" s="35">
        <v>0</v>
      </c>
      <c r="U398" s="35">
        <v>0</v>
      </c>
      <c r="V398" s="35">
        <v>0</v>
      </c>
      <c r="W398" s="42">
        <f t="shared" si="101"/>
        <v>847478.11</v>
      </c>
      <c r="X398" s="165">
        <v>2015</v>
      </c>
      <c r="Y398" s="165">
        <v>2016</v>
      </c>
      <c r="Z398" s="155">
        <f t="shared" si="105"/>
        <v>160</v>
      </c>
      <c r="AA398" s="155">
        <f t="shared" si="109"/>
        <v>17</v>
      </c>
    </row>
    <row r="399" spans="1:27" s="118" customFormat="1" ht="18" customHeight="1" x14ac:dyDescent="0.25">
      <c r="A399" s="165">
        <f t="shared" si="102"/>
        <v>320</v>
      </c>
      <c r="B399" s="75" t="s">
        <v>508</v>
      </c>
      <c r="C399" s="143" t="s">
        <v>232</v>
      </c>
      <c r="D399" s="76"/>
      <c r="E399" s="45">
        <v>293.10000000000002</v>
      </c>
      <c r="F399" s="45">
        <v>257.5</v>
      </c>
      <c r="G399" s="42">
        <f t="shared" si="103"/>
        <v>660889.19999999995</v>
      </c>
      <c r="H399" s="35">
        <v>0</v>
      </c>
      <c r="I399" s="35">
        <f t="shared" si="110"/>
        <v>0</v>
      </c>
      <c r="J399" s="35">
        <v>0</v>
      </c>
      <c r="K399" s="35">
        <v>0</v>
      </c>
      <c r="L399" s="35">
        <f t="shared" si="107"/>
        <v>0</v>
      </c>
      <c r="M399" s="35">
        <v>0</v>
      </c>
      <c r="N399" s="35"/>
      <c r="O399" s="35">
        <f>ROUND(2566.56*F399,2)</f>
        <v>660889.19999999995</v>
      </c>
      <c r="P399" s="35">
        <f t="shared" si="108"/>
        <v>2566.56</v>
      </c>
      <c r="Q399" s="35">
        <v>0</v>
      </c>
      <c r="R399" s="35"/>
      <c r="S399" s="35">
        <v>0</v>
      </c>
      <c r="T399" s="35">
        <v>0</v>
      </c>
      <c r="U399" s="35">
        <v>0</v>
      </c>
      <c r="V399" s="35">
        <v>0</v>
      </c>
      <c r="W399" s="42">
        <f t="shared" si="101"/>
        <v>660889.19999999995</v>
      </c>
      <c r="X399" s="165">
        <v>2015</v>
      </c>
      <c r="Y399" s="165">
        <v>2016</v>
      </c>
      <c r="Z399" s="155">
        <f t="shared" si="105"/>
        <v>161</v>
      </c>
      <c r="AA399" s="155">
        <f t="shared" si="109"/>
        <v>18</v>
      </c>
    </row>
    <row r="400" spans="1:27" s="118" customFormat="1" ht="18" customHeight="1" x14ac:dyDescent="0.25">
      <c r="A400" s="165">
        <f t="shared" si="102"/>
        <v>321</v>
      </c>
      <c r="B400" s="75" t="s">
        <v>509</v>
      </c>
      <c r="C400" s="143" t="s">
        <v>232</v>
      </c>
      <c r="D400" s="76"/>
      <c r="E400" s="45">
        <v>322.89999999999998</v>
      </c>
      <c r="F400" s="45">
        <v>322.89999999999998</v>
      </c>
      <c r="G400" s="42">
        <f t="shared" si="103"/>
        <v>828742.22</v>
      </c>
      <c r="H400" s="35">
        <v>0</v>
      </c>
      <c r="I400" s="35">
        <f t="shared" si="110"/>
        <v>0</v>
      </c>
      <c r="J400" s="35">
        <v>0</v>
      </c>
      <c r="K400" s="35">
        <v>0</v>
      </c>
      <c r="L400" s="35">
        <f t="shared" si="107"/>
        <v>0</v>
      </c>
      <c r="M400" s="35">
        <v>0</v>
      </c>
      <c r="N400" s="35"/>
      <c r="O400" s="35">
        <f>ROUND(2566.56*F400,2)</f>
        <v>828742.22</v>
      </c>
      <c r="P400" s="35">
        <f t="shared" si="108"/>
        <v>2566.5599876122637</v>
      </c>
      <c r="Q400" s="35">
        <v>0</v>
      </c>
      <c r="R400" s="35"/>
      <c r="S400" s="35">
        <v>0</v>
      </c>
      <c r="T400" s="35">
        <v>0</v>
      </c>
      <c r="U400" s="35">
        <v>0</v>
      </c>
      <c r="V400" s="35">
        <v>0</v>
      </c>
      <c r="W400" s="42">
        <f t="shared" si="101"/>
        <v>828742.22</v>
      </c>
      <c r="X400" s="165">
        <v>2015</v>
      </c>
      <c r="Y400" s="165">
        <v>2016</v>
      </c>
      <c r="Z400" s="155">
        <f t="shared" si="105"/>
        <v>162</v>
      </c>
      <c r="AA400" s="155">
        <f t="shared" si="109"/>
        <v>19</v>
      </c>
    </row>
    <row r="401" spans="1:28" s="116" customFormat="1" ht="19.5" customHeight="1" x14ac:dyDescent="0.25">
      <c r="A401" s="183" t="s">
        <v>173</v>
      </c>
      <c r="B401" s="183"/>
      <c r="C401" s="143"/>
      <c r="D401" s="25"/>
      <c r="E401" s="29">
        <v>0</v>
      </c>
      <c r="F401" s="29">
        <v>0</v>
      </c>
      <c r="G401" s="19">
        <v>0</v>
      </c>
      <c r="H401" s="28">
        <v>0</v>
      </c>
      <c r="I401" s="28"/>
      <c r="J401" s="28">
        <v>0</v>
      </c>
      <c r="K401" s="28">
        <v>0</v>
      </c>
      <c r="L401" s="28"/>
      <c r="M401" s="28">
        <v>0</v>
      </c>
      <c r="N401" s="28"/>
      <c r="O401" s="28">
        <v>0</v>
      </c>
      <c r="P401" s="28"/>
      <c r="Q401" s="28">
        <v>0</v>
      </c>
      <c r="R401" s="28"/>
      <c r="S401" s="28">
        <v>0</v>
      </c>
      <c r="T401" s="28">
        <v>0</v>
      </c>
      <c r="U401" s="28">
        <v>0</v>
      </c>
      <c r="V401" s="28">
        <v>0</v>
      </c>
      <c r="W401" s="19">
        <v>0</v>
      </c>
      <c r="X401" s="20" t="s">
        <v>368</v>
      </c>
      <c r="Y401" s="20" t="s">
        <v>368</v>
      </c>
      <c r="Z401" s="156"/>
      <c r="AA401" s="155"/>
    </row>
    <row r="402" spans="1:28" s="116" customFormat="1" ht="19.5" customHeight="1" x14ac:dyDescent="0.25">
      <c r="A402" s="183" t="s">
        <v>171</v>
      </c>
      <c r="B402" s="183"/>
      <c r="C402" s="144"/>
      <c r="D402" s="167"/>
      <c r="E402" s="29">
        <f>SUM(E372:E381)</f>
        <v>5706.3</v>
      </c>
      <c r="F402" s="29">
        <f t="shared" ref="F402:W402" si="111">SUM(F372:F381)</f>
        <v>5147.5999999999995</v>
      </c>
      <c r="G402" s="19">
        <f t="shared" si="111"/>
        <v>13302203.060000001</v>
      </c>
      <c r="H402" s="28">
        <f t="shared" si="111"/>
        <v>0</v>
      </c>
      <c r="I402" s="28"/>
      <c r="J402" s="28">
        <f t="shared" si="111"/>
        <v>0</v>
      </c>
      <c r="K402" s="28">
        <f t="shared" si="111"/>
        <v>13302203.060000001</v>
      </c>
      <c r="L402" s="28"/>
      <c r="M402" s="28">
        <f t="shared" si="111"/>
        <v>0</v>
      </c>
      <c r="N402" s="28"/>
      <c r="O402" s="28">
        <f t="shared" si="111"/>
        <v>0</v>
      </c>
      <c r="P402" s="28"/>
      <c r="Q402" s="28">
        <f t="shared" si="111"/>
        <v>0</v>
      </c>
      <c r="R402" s="28"/>
      <c r="S402" s="28">
        <f t="shared" si="111"/>
        <v>0</v>
      </c>
      <c r="T402" s="28">
        <f t="shared" si="111"/>
        <v>0</v>
      </c>
      <c r="U402" s="28">
        <f t="shared" si="111"/>
        <v>0</v>
      </c>
      <c r="V402" s="28">
        <f t="shared" si="111"/>
        <v>0</v>
      </c>
      <c r="W402" s="19">
        <f t="shared" si="111"/>
        <v>13302203.060000001</v>
      </c>
      <c r="X402" s="20" t="s">
        <v>368</v>
      </c>
      <c r="Y402" s="20" t="s">
        <v>368</v>
      </c>
      <c r="Z402" s="156"/>
      <c r="AA402" s="155"/>
    </row>
    <row r="403" spans="1:28" s="116" customFormat="1" ht="19.5" customHeight="1" x14ac:dyDescent="0.25">
      <c r="A403" s="183" t="s">
        <v>172</v>
      </c>
      <c r="B403" s="183"/>
      <c r="C403" s="144"/>
      <c r="D403" s="167"/>
      <c r="E403" s="29">
        <f>SUM(E382:E400)</f>
        <v>38067.399999999994</v>
      </c>
      <c r="F403" s="29">
        <f>SUM(F382:F400)</f>
        <v>33579.9</v>
      </c>
      <c r="G403" s="19">
        <f>SUM(G382:G400)</f>
        <v>31223501.039999999</v>
      </c>
      <c r="H403" s="19">
        <f>SUM(H382:H400)</f>
        <v>7796097.5499999998</v>
      </c>
      <c r="I403" s="19"/>
      <c r="J403" s="19">
        <f>SUM(J382:J400)</f>
        <v>0</v>
      </c>
      <c r="K403" s="19">
        <f>SUM(K382:K400)</f>
        <v>16874638.940000001</v>
      </c>
      <c r="L403" s="19"/>
      <c r="M403" s="19">
        <f>SUM(M382:M400)</f>
        <v>0</v>
      </c>
      <c r="N403" s="19"/>
      <c r="O403" s="19">
        <f>SUM(O382:O400)</f>
        <v>6552764.5500000007</v>
      </c>
      <c r="P403" s="19"/>
      <c r="Q403" s="19">
        <f>SUM(Q382:Q400)</f>
        <v>0</v>
      </c>
      <c r="R403" s="19"/>
      <c r="S403" s="19">
        <f>SUM(S382:S400)</f>
        <v>0</v>
      </c>
      <c r="T403" s="19">
        <f>SUM(T382:T400)</f>
        <v>0</v>
      </c>
      <c r="U403" s="19">
        <f>SUM(U382:U400)</f>
        <v>0</v>
      </c>
      <c r="V403" s="19">
        <f>SUM(V382:V400)</f>
        <v>0</v>
      </c>
      <c r="W403" s="19">
        <f>SUM(W382:W400)</f>
        <v>31223501.039999999</v>
      </c>
      <c r="X403" s="20" t="s">
        <v>368</v>
      </c>
      <c r="Y403" s="20" t="s">
        <v>368</v>
      </c>
      <c r="Z403" s="156"/>
      <c r="AA403" s="155"/>
      <c r="AB403" s="157">
        <f>T403+V403+W403</f>
        <v>31223501.039999999</v>
      </c>
    </row>
    <row r="404" spans="1:28" s="116" customFormat="1" ht="19.5" customHeight="1" x14ac:dyDescent="0.25">
      <c r="A404" s="183" t="s">
        <v>369</v>
      </c>
      <c r="B404" s="183"/>
      <c r="C404" s="144"/>
      <c r="D404" s="167"/>
      <c r="E404" s="29">
        <f t="shared" ref="E404:H406" si="112">E401+E368+E359+E354</f>
        <v>0</v>
      </c>
      <c r="F404" s="29">
        <f t="shared" si="112"/>
        <v>0</v>
      </c>
      <c r="G404" s="19">
        <f t="shared" si="112"/>
        <v>0</v>
      </c>
      <c r="H404" s="28">
        <f t="shared" si="112"/>
        <v>0</v>
      </c>
      <c r="I404" s="28"/>
      <c r="J404" s="28">
        <f t="shared" ref="J404:K406" si="113">J401+J368+J359+J354</f>
        <v>0</v>
      </c>
      <c r="K404" s="28">
        <f t="shared" si="113"/>
        <v>0</v>
      </c>
      <c r="L404" s="28"/>
      <c r="M404" s="28">
        <f>M401+M368+M359+M354</f>
        <v>0</v>
      </c>
      <c r="N404" s="28"/>
      <c r="O404" s="28">
        <f>O401+O368+O359+O354</f>
        <v>0</v>
      </c>
      <c r="P404" s="28"/>
      <c r="Q404" s="28">
        <f>Q401+Q368+Q359+Q354</f>
        <v>0</v>
      </c>
      <c r="R404" s="28"/>
      <c r="S404" s="28">
        <f t="shared" ref="S404:W406" si="114">S401+S368+S359+S354</f>
        <v>0</v>
      </c>
      <c r="T404" s="28">
        <f t="shared" si="114"/>
        <v>0</v>
      </c>
      <c r="U404" s="28">
        <f t="shared" si="114"/>
        <v>0</v>
      </c>
      <c r="V404" s="28">
        <f t="shared" si="114"/>
        <v>0</v>
      </c>
      <c r="W404" s="19">
        <f t="shared" si="114"/>
        <v>0</v>
      </c>
      <c r="X404" s="20" t="s">
        <v>368</v>
      </c>
      <c r="Y404" s="20" t="s">
        <v>368</v>
      </c>
      <c r="Z404" s="156"/>
      <c r="AA404" s="156"/>
    </row>
    <row r="405" spans="1:28" s="116" customFormat="1" ht="19.5" customHeight="1" x14ac:dyDescent="0.25">
      <c r="A405" s="183" t="s">
        <v>299</v>
      </c>
      <c r="B405" s="183"/>
      <c r="C405" s="144"/>
      <c r="D405" s="167"/>
      <c r="E405" s="29">
        <f t="shared" si="112"/>
        <v>7259.1</v>
      </c>
      <c r="F405" s="29">
        <f t="shared" si="112"/>
        <v>6541.0999999999995</v>
      </c>
      <c r="G405" s="19">
        <f t="shared" si="112"/>
        <v>17015912.5</v>
      </c>
      <c r="H405" s="28">
        <f t="shared" si="112"/>
        <v>0</v>
      </c>
      <c r="I405" s="28"/>
      <c r="J405" s="28">
        <f t="shared" si="113"/>
        <v>0</v>
      </c>
      <c r="K405" s="28">
        <f t="shared" si="113"/>
        <v>17015912.5</v>
      </c>
      <c r="L405" s="28"/>
      <c r="M405" s="28">
        <f>M402+M369+M360+M355</f>
        <v>0</v>
      </c>
      <c r="N405" s="28"/>
      <c r="O405" s="28">
        <f>O402+O369+O360+O355</f>
        <v>0</v>
      </c>
      <c r="P405" s="28"/>
      <c r="Q405" s="28">
        <f>Q402+Q369+Q360+Q355</f>
        <v>0</v>
      </c>
      <c r="R405" s="28"/>
      <c r="S405" s="28">
        <f t="shared" si="114"/>
        <v>0</v>
      </c>
      <c r="T405" s="28">
        <f t="shared" si="114"/>
        <v>0</v>
      </c>
      <c r="U405" s="28">
        <f t="shared" si="114"/>
        <v>0</v>
      </c>
      <c r="V405" s="28">
        <f t="shared" si="114"/>
        <v>0</v>
      </c>
      <c r="W405" s="19">
        <f t="shared" si="114"/>
        <v>17015912.5</v>
      </c>
      <c r="X405" s="20" t="s">
        <v>368</v>
      </c>
      <c r="Y405" s="20" t="s">
        <v>368</v>
      </c>
      <c r="Z405" s="156"/>
      <c r="AA405" s="156"/>
    </row>
    <row r="406" spans="1:28" s="116" customFormat="1" ht="19.5" customHeight="1" x14ac:dyDescent="0.25">
      <c r="A406" s="183" t="s">
        <v>348</v>
      </c>
      <c r="B406" s="183"/>
      <c r="C406" s="144"/>
      <c r="D406" s="167"/>
      <c r="E406" s="29">
        <f>E403+E370+E361+E356</f>
        <v>47462.2</v>
      </c>
      <c r="F406" s="29">
        <f t="shared" si="112"/>
        <v>41224.399999999994</v>
      </c>
      <c r="G406" s="19">
        <f t="shared" si="112"/>
        <v>37869322.769999996</v>
      </c>
      <c r="H406" s="28">
        <f t="shared" si="112"/>
        <v>7796097.5499999998</v>
      </c>
      <c r="I406" s="28"/>
      <c r="J406" s="28">
        <f t="shared" si="113"/>
        <v>0</v>
      </c>
      <c r="K406" s="28">
        <f t="shared" si="113"/>
        <v>22734376.050000004</v>
      </c>
      <c r="L406" s="28"/>
      <c r="M406" s="28">
        <f>M403+M370+M361+M356</f>
        <v>0</v>
      </c>
      <c r="N406" s="28"/>
      <c r="O406" s="28">
        <f>O403+O370+O361+O356</f>
        <v>7338849.1700000009</v>
      </c>
      <c r="P406" s="28"/>
      <c r="Q406" s="28">
        <f>Q403+Q370+Q361+Q356</f>
        <v>0</v>
      </c>
      <c r="R406" s="28"/>
      <c r="S406" s="28">
        <f t="shared" si="114"/>
        <v>0</v>
      </c>
      <c r="T406" s="28">
        <f t="shared" si="114"/>
        <v>0</v>
      </c>
      <c r="U406" s="28">
        <f t="shared" si="114"/>
        <v>0</v>
      </c>
      <c r="V406" s="28">
        <f t="shared" si="114"/>
        <v>193009.89</v>
      </c>
      <c r="W406" s="19">
        <f t="shared" si="114"/>
        <v>37676312.879999995</v>
      </c>
      <c r="X406" s="20" t="s">
        <v>368</v>
      </c>
      <c r="Y406" s="20" t="s">
        <v>368</v>
      </c>
      <c r="Z406" s="156"/>
      <c r="AA406" s="156"/>
      <c r="AB406" s="157">
        <f>T406+V406+W406</f>
        <v>37869322.769999996</v>
      </c>
    </row>
    <row r="407" spans="1:28" s="116" customFormat="1" ht="17.25" customHeight="1" x14ac:dyDescent="0.25">
      <c r="A407" s="182" t="s">
        <v>239</v>
      </c>
      <c r="B407" s="182"/>
      <c r="C407" s="182"/>
      <c r="D407" s="182"/>
      <c r="E407" s="182"/>
      <c r="F407" s="182"/>
      <c r="G407" s="182"/>
      <c r="H407" s="182"/>
      <c r="I407" s="182"/>
      <c r="J407" s="182"/>
      <c r="K407" s="182"/>
      <c r="L407" s="182"/>
      <c r="M407" s="182"/>
      <c r="N407" s="182"/>
      <c r="O407" s="182"/>
      <c r="P407" s="182"/>
      <c r="Q407" s="182"/>
      <c r="R407" s="182"/>
      <c r="S407" s="182"/>
      <c r="T407" s="182"/>
      <c r="U407" s="182"/>
      <c r="V407" s="182"/>
      <c r="W407" s="182"/>
      <c r="X407" s="165"/>
      <c r="Y407" s="165"/>
      <c r="Z407" s="156"/>
      <c r="AA407" s="156"/>
    </row>
    <row r="408" spans="1:28" s="116" customFormat="1" ht="17.25" customHeight="1" x14ac:dyDescent="0.25">
      <c r="A408" s="182" t="s">
        <v>354</v>
      </c>
      <c r="B408" s="182"/>
      <c r="C408" s="182"/>
      <c r="D408" s="182"/>
      <c r="E408" s="182"/>
      <c r="F408" s="182"/>
      <c r="G408" s="182"/>
      <c r="H408" s="182"/>
      <c r="I408" s="182"/>
      <c r="J408" s="182"/>
      <c r="K408" s="182"/>
      <c r="L408" s="182"/>
      <c r="M408" s="182"/>
      <c r="N408" s="182"/>
      <c r="O408" s="182"/>
      <c r="P408" s="182"/>
      <c r="Q408" s="182"/>
      <c r="R408" s="182"/>
      <c r="S408" s="182"/>
      <c r="T408" s="182"/>
      <c r="U408" s="182"/>
      <c r="V408" s="182"/>
      <c r="W408" s="182"/>
      <c r="X408" s="165"/>
      <c r="Y408" s="165"/>
      <c r="Z408" s="156"/>
      <c r="AA408" s="156"/>
    </row>
    <row r="409" spans="1:28" s="116" customFormat="1" ht="18" customHeight="1" x14ac:dyDescent="0.25">
      <c r="A409" s="49">
        <f>A400+1</f>
        <v>322</v>
      </c>
      <c r="B409" s="78" t="s">
        <v>355</v>
      </c>
      <c r="C409" s="147">
        <v>1993</v>
      </c>
      <c r="D409" s="64"/>
      <c r="E409" s="79">
        <v>2212.5</v>
      </c>
      <c r="F409" s="80">
        <v>2165.1999999999998</v>
      </c>
      <c r="G409" s="42">
        <f>H409+J409+K409+M409+O409+Q409+S409</f>
        <v>2010734.63</v>
      </c>
      <c r="H409" s="35">
        <v>0</v>
      </c>
      <c r="I409" s="35"/>
      <c r="J409" s="35">
        <v>0</v>
      </c>
      <c r="K409" s="35">
        <v>2010734.63</v>
      </c>
      <c r="L409" s="35">
        <f>K409/F409</f>
        <v>928.65999907629782</v>
      </c>
      <c r="M409" s="35">
        <v>0</v>
      </c>
      <c r="N409" s="35"/>
      <c r="O409" s="35">
        <v>0</v>
      </c>
      <c r="P409" s="35"/>
      <c r="Q409" s="35">
        <v>0</v>
      </c>
      <c r="R409" s="35"/>
      <c r="S409" s="35">
        <v>0</v>
      </c>
      <c r="T409" s="35">
        <v>0</v>
      </c>
      <c r="U409" s="35">
        <v>0</v>
      </c>
      <c r="V409" s="35">
        <v>0</v>
      </c>
      <c r="W409" s="130">
        <f>G409</f>
        <v>2010734.63</v>
      </c>
      <c r="X409" s="165">
        <v>2016</v>
      </c>
      <c r="Y409" s="165">
        <v>2016</v>
      </c>
      <c r="Z409" s="156">
        <f>Z400+1</f>
        <v>163</v>
      </c>
      <c r="AA409" s="156"/>
    </row>
    <row r="410" spans="1:28" s="116" customFormat="1" ht="18" customHeight="1" x14ac:dyDescent="0.25">
      <c r="A410" s="183" t="s">
        <v>173</v>
      </c>
      <c r="B410" s="183"/>
      <c r="C410" s="147"/>
      <c r="D410" s="64"/>
      <c r="E410" s="29">
        <v>0</v>
      </c>
      <c r="F410" s="29">
        <v>0</v>
      </c>
      <c r="G410" s="19">
        <v>0</v>
      </c>
      <c r="H410" s="28">
        <v>0</v>
      </c>
      <c r="I410" s="28"/>
      <c r="J410" s="28">
        <v>0</v>
      </c>
      <c r="K410" s="28">
        <v>0</v>
      </c>
      <c r="L410" s="28"/>
      <c r="M410" s="28">
        <v>0</v>
      </c>
      <c r="N410" s="28"/>
      <c r="O410" s="28">
        <v>0</v>
      </c>
      <c r="P410" s="28"/>
      <c r="Q410" s="28">
        <v>0</v>
      </c>
      <c r="R410" s="28"/>
      <c r="S410" s="28">
        <v>0</v>
      </c>
      <c r="T410" s="28">
        <v>0</v>
      </c>
      <c r="U410" s="28">
        <v>0</v>
      </c>
      <c r="V410" s="28">
        <v>0</v>
      </c>
      <c r="W410" s="19">
        <v>0</v>
      </c>
      <c r="X410" s="20" t="s">
        <v>368</v>
      </c>
      <c r="Y410" s="20" t="s">
        <v>368</v>
      </c>
      <c r="Z410" s="156"/>
      <c r="AA410" s="156"/>
    </row>
    <row r="411" spans="1:28" s="116" customFormat="1" ht="18" customHeight="1" x14ac:dyDescent="0.25">
      <c r="A411" s="183" t="s">
        <v>171</v>
      </c>
      <c r="B411" s="183"/>
      <c r="C411" s="147"/>
      <c r="D411" s="64"/>
      <c r="E411" s="29">
        <v>0</v>
      </c>
      <c r="F411" s="29">
        <v>0</v>
      </c>
      <c r="G411" s="19">
        <v>0</v>
      </c>
      <c r="H411" s="28">
        <v>0</v>
      </c>
      <c r="I411" s="28"/>
      <c r="J411" s="28">
        <v>0</v>
      </c>
      <c r="K411" s="28">
        <v>0</v>
      </c>
      <c r="L411" s="28"/>
      <c r="M411" s="28">
        <v>0</v>
      </c>
      <c r="N411" s="28"/>
      <c r="O411" s="28">
        <v>0</v>
      </c>
      <c r="P411" s="28"/>
      <c r="Q411" s="28">
        <v>0</v>
      </c>
      <c r="R411" s="28"/>
      <c r="S411" s="28">
        <v>0</v>
      </c>
      <c r="T411" s="28">
        <v>0</v>
      </c>
      <c r="U411" s="28">
        <v>0</v>
      </c>
      <c r="V411" s="28">
        <v>0</v>
      </c>
      <c r="W411" s="19">
        <v>0</v>
      </c>
      <c r="X411" s="20" t="s">
        <v>368</v>
      </c>
      <c r="Y411" s="20" t="s">
        <v>368</v>
      </c>
      <c r="Z411" s="156"/>
      <c r="AA411" s="156"/>
    </row>
    <row r="412" spans="1:28" s="116" customFormat="1" ht="18" customHeight="1" x14ac:dyDescent="0.25">
      <c r="A412" s="183" t="s">
        <v>172</v>
      </c>
      <c r="B412" s="183"/>
      <c r="C412" s="144"/>
      <c r="D412" s="167"/>
      <c r="E412" s="29">
        <f>E409</f>
        <v>2212.5</v>
      </c>
      <c r="F412" s="29">
        <f>F409</f>
        <v>2165.1999999999998</v>
      </c>
      <c r="G412" s="19">
        <f t="shared" ref="G412:W412" si="115">G409</f>
        <v>2010734.63</v>
      </c>
      <c r="H412" s="28">
        <f t="shared" si="115"/>
        <v>0</v>
      </c>
      <c r="I412" s="28"/>
      <c r="J412" s="28">
        <f t="shared" si="115"/>
        <v>0</v>
      </c>
      <c r="K412" s="28">
        <f t="shared" si="115"/>
        <v>2010734.63</v>
      </c>
      <c r="L412" s="28"/>
      <c r="M412" s="28">
        <f t="shared" si="115"/>
        <v>0</v>
      </c>
      <c r="N412" s="28"/>
      <c r="O412" s="28">
        <f t="shared" si="115"/>
        <v>0</v>
      </c>
      <c r="P412" s="28"/>
      <c r="Q412" s="28">
        <f t="shared" si="115"/>
        <v>0</v>
      </c>
      <c r="R412" s="28"/>
      <c r="S412" s="28">
        <f t="shared" si="115"/>
        <v>0</v>
      </c>
      <c r="T412" s="28">
        <f t="shared" si="115"/>
        <v>0</v>
      </c>
      <c r="U412" s="28">
        <f t="shared" si="115"/>
        <v>0</v>
      </c>
      <c r="V412" s="28">
        <f t="shared" si="115"/>
        <v>0</v>
      </c>
      <c r="W412" s="19">
        <f t="shared" si="115"/>
        <v>2010734.63</v>
      </c>
      <c r="X412" s="20" t="s">
        <v>368</v>
      </c>
      <c r="Y412" s="20" t="s">
        <v>368</v>
      </c>
      <c r="Z412" s="156"/>
      <c r="AA412" s="156"/>
      <c r="AB412" s="157">
        <f>T412+V412+W412</f>
        <v>2010734.63</v>
      </c>
    </row>
    <row r="413" spans="1:28" s="116" customFormat="1" ht="17.25" customHeight="1" x14ac:dyDescent="0.25">
      <c r="A413" s="182" t="s">
        <v>240</v>
      </c>
      <c r="B413" s="182"/>
      <c r="C413" s="182"/>
      <c r="D413" s="182"/>
      <c r="E413" s="182"/>
      <c r="F413" s="182"/>
      <c r="G413" s="182"/>
      <c r="H413" s="182"/>
      <c r="I413" s="182"/>
      <c r="J413" s="182"/>
      <c r="K413" s="182"/>
      <c r="L413" s="182"/>
      <c r="M413" s="182"/>
      <c r="N413" s="182"/>
      <c r="O413" s="182"/>
      <c r="P413" s="182"/>
      <c r="Q413" s="182"/>
      <c r="R413" s="182"/>
      <c r="S413" s="182"/>
      <c r="T413" s="182"/>
      <c r="U413" s="182"/>
      <c r="V413" s="182"/>
      <c r="W413" s="182"/>
      <c r="X413" s="165"/>
      <c r="Y413" s="165"/>
      <c r="Z413" s="156"/>
      <c r="AA413" s="156"/>
    </row>
    <row r="414" spans="1:28" s="118" customFormat="1" ht="18" customHeight="1" x14ac:dyDescent="0.25">
      <c r="A414" s="165">
        <f>A409+1</f>
        <v>323</v>
      </c>
      <c r="B414" s="24" t="s">
        <v>241</v>
      </c>
      <c r="C414" s="142" t="s">
        <v>190</v>
      </c>
      <c r="D414" s="165"/>
      <c r="E414" s="45">
        <v>986.3</v>
      </c>
      <c r="F414" s="127">
        <v>784.1</v>
      </c>
      <c r="G414" s="42">
        <f>SUM(H414:S414)</f>
        <v>1300000</v>
      </c>
      <c r="H414" s="35">
        <v>182799</v>
      </c>
      <c r="I414" s="35"/>
      <c r="J414" s="35">
        <v>0</v>
      </c>
      <c r="K414" s="35">
        <v>1117201</v>
      </c>
      <c r="L414" s="35"/>
      <c r="M414" s="35">
        <v>0</v>
      </c>
      <c r="N414" s="35"/>
      <c r="O414" s="35">
        <v>0</v>
      </c>
      <c r="P414" s="35"/>
      <c r="Q414" s="35">
        <v>0</v>
      </c>
      <c r="R414" s="35"/>
      <c r="S414" s="35">
        <v>0</v>
      </c>
      <c r="T414" s="35">
        <v>0</v>
      </c>
      <c r="U414" s="35">
        <v>0</v>
      </c>
      <c r="V414" s="35">
        <v>0</v>
      </c>
      <c r="W414" s="42">
        <f>G414</f>
        <v>1300000</v>
      </c>
      <c r="X414" s="165">
        <v>2015</v>
      </c>
      <c r="Y414" s="165">
        <v>2015</v>
      </c>
      <c r="Z414" s="155"/>
      <c r="AA414" s="156"/>
    </row>
    <row r="415" spans="1:28" s="118" customFormat="1" ht="18" customHeight="1" x14ac:dyDescent="0.25">
      <c r="A415" s="165">
        <f>A414+1</f>
        <v>324</v>
      </c>
      <c r="B415" s="24" t="s">
        <v>243</v>
      </c>
      <c r="C415" s="142" t="s">
        <v>190</v>
      </c>
      <c r="D415" s="165"/>
      <c r="E415" s="45">
        <v>486.7</v>
      </c>
      <c r="F415" s="127">
        <v>432.5</v>
      </c>
      <c r="G415" s="42">
        <f>SUM(H415:S415)</f>
        <v>642204</v>
      </c>
      <c r="H415" s="35">
        <v>134197</v>
      </c>
      <c r="I415" s="35"/>
      <c r="J415" s="35">
        <v>0</v>
      </c>
      <c r="K415" s="35">
        <v>508007</v>
      </c>
      <c r="L415" s="35"/>
      <c r="M415" s="35">
        <v>0</v>
      </c>
      <c r="N415" s="35"/>
      <c r="O415" s="35">
        <v>0</v>
      </c>
      <c r="P415" s="35"/>
      <c r="Q415" s="35">
        <v>0</v>
      </c>
      <c r="R415" s="35"/>
      <c r="S415" s="35">
        <v>0</v>
      </c>
      <c r="T415" s="35">
        <v>0</v>
      </c>
      <c r="U415" s="35">
        <v>0</v>
      </c>
      <c r="V415" s="35">
        <v>0</v>
      </c>
      <c r="W415" s="42">
        <f>G415</f>
        <v>642204</v>
      </c>
      <c r="X415" s="165">
        <v>2015</v>
      </c>
      <c r="Y415" s="165">
        <v>2015</v>
      </c>
      <c r="Z415" s="155"/>
      <c r="AA415" s="156"/>
    </row>
    <row r="416" spans="1:28" s="118" customFormat="1" ht="18" customHeight="1" x14ac:dyDescent="0.25">
      <c r="A416" s="165">
        <f>A415+1</f>
        <v>325</v>
      </c>
      <c r="B416" s="24" t="s">
        <v>242</v>
      </c>
      <c r="C416" s="142" t="s">
        <v>190</v>
      </c>
      <c r="D416" s="165"/>
      <c r="E416" s="45">
        <v>1116</v>
      </c>
      <c r="F416" s="127">
        <v>986</v>
      </c>
      <c r="G416" s="42">
        <f>H416+J416+K416+M416+O416+Q416+S416</f>
        <v>1573249.98</v>
      </c>
      <c r="H416" s="35">
        <v>340832.2</v>
      </c>
      <c r="I416" s="35"/>
      <c r="J416" s="35">
        <v>0</v>
      </c>
      <c r="K416" s="35">
        <v>1232417.78</v>
      </c>
      <c r="L416" s="35">
        <f>K416/F416</f>
        <v>1249.9166125760648</v>
      </c>
      <c r="M416" s="35">
        <v>0</v>
      </c>
      <c r="N416" s="35"/>
      <c r="O416" s="35">
        <v>0</v>
      </c>
      <c r="P416" s="35"/>
      <c r="Q416" s="35">
        <v>0</v>
      </c>
      <c r="R416" s="35"/>
      <c r="S416" s="35">
        <v>0</v>
      </c>
      <c r="T416" s="35">
        <v>0</v>
      </c>
      <c r="U416" s="35">
        <v>0</v>
      </c>
      <c r="V416" s="35">
        <v>0</v>
      </c>
      <c r="W416" s="42">
        <f>G416</f>
        <v>1573249.98</v>
      </c>
      <c r="X416" s="165">
        <v>2015</v>
      </c>
      <c r="Y416" s="165">
        <v>2016</v>
      </c>
      <c r="Z416" s="155">
        <f>Z409+1</f>
        <v>164</v>
      </c>
      <c r="AA416" s="156"/>
    </row>
    <row r="417" spans="1:28" s="116" customFormat="1" ht="19.5" customHeight="1" x14ac:dyDescent="0.25">
      <c r="A417" s="183" t="s">
        <v>173</v>
      </c>
      <c r="B417" s="183"/>
      <c r="C417" s="147"/>
      <c r="D417" s="64"/>
      <c r="E417" s="29">
        <v>0</v>
      </c>
      <c r="F417" s="28">
        <v>0</v>
      </c>
      <c r="G417" s="19">
        <v>0</v>
      </c>
      <c r="H417" s="28">
        <v>0</v>
      </c>
      <c r="I417" s="28"/>
      <c r="J417" s="28">
        <v>0</v>
      </c>
      <c r="K417" s="28">
        <v>0</v>
      </c>
      <c r="L417" s="28"/>
      <c r="M417" s="28">
        <v>0</v>
      </c>
      <c r="N417" s="28"/>
      <c r="O417" s="28">
        <v>0</v>
      </c>
      <c r="P417" s="28"/>
      <c r="Q417" s="28">
        <v>0</v>
      </c>
      <c r="R417" s="28"/>
      <c r="S417" s="28">
        <v>0</v>
      </c>
      <c r="T417" s="28">
        <v>0</v>
      </c>
      <c r="U417" s="28">
        <v>0</v>
      </c>
      <c r="V417" s="28">
        <v>0</v>
      </c>
      <c r="W417" s="19">
        <v>0</v>
      </c>
      <c r="X417" s="20" t="s">
        <v>368</v>
      </c>
      <c r="Y417" s="20" t="s">
        <v>368</v>
      </c>
      <c r="Z417" s="156"/>
      <c r="AA417" s="155"/>
    </row>
    <row r="418" spans="1:28" s="116" customFormat="1" ht="19.5" customHeight="1" x14ac:dyDescent="0.25">
      <c r="A418" s="183" t="s">
        <v>171</v>
      </c>
      <c r="B418" s="183"/>
      <c r="C418" s="144"/>
      <c r="D418" s="167"/>
      <c r="E418" s="29">
        <f>SUM(E414:E415)</f>
        <v>1473</v>
      </c>
      <c r="F418" s="29">
        <f>SUM(F414:F415)</f>
        <v>1216.5999999999999</v>
      </c>
      <c r="G418" s="19">
        <f>SUM(G414:G415)</f>
        <v>1942204</v>
      </c>
      <c r="H418" s="19">
        <f t="shared" ref="H418:W418" si="116">SUM(H414:H415)</f>
        <v>316996</v>
      </c>
      <c r="I418" s="19"/>
      <c r="J418" s="19">
        <f t="shared" si="116"/>
        <v>0</v>
      </c>
      <c r="K418" s="19">
        <f t="shared" si="116"/>
        <v>1625208</v>
      </c>
      <c r="L418" s="19"/>
      <c r="M418" s="19">
        <f t="shared" si="116"/>
        <v>0</v>
      </c>
      <c r="N418" s="19"/>
      <c r="O418" s="19">
        <f t="shared" si="116"/>
        <v>0</v>
      </c>
      <c r="P418" s="19"/>
      <c r="Q418" s="19">
        <f t="shared" si="116"/>
        <v>0</v>
      </c>
      <c r="R418" s="19"/>
      <c r="S418" s="19">
        <f t="shared" si="116"/>
        <v>0</v>
      </c>
      <c r="T418" s="19">
        <f t="shared" si="116"/>
        <v>0</v>
      </c>
      <c r="U418" s="19">
        <f t="shared" si="116"/>
        <v>0</v>
      </c>
      <c r="V418" s="19">
        <f t="shared" si="116"/>
        <v>0</v>
      </c>
      <c r="W418" s="19">
        <f t="shared" si="116"/>
        <v>1942204</v>
      </c>
      <c r="X418" s="20" t="s">
        <v>368</v>
      </c>
      <c r="Y418" s="20" t="s">
        <v>368</v>
      </c>
      <c r="Z418" s="156"/>
      <c r="AA418" s="155"/>
    </row>
    <row r="419" spans="1:28" s="116" customFormat="1" ht="19.5" customHeight="1" x14ac:dyDescent="0.25">
      <c r="A419" s="183" t="s">
        <v>172</v>
      </c>
      <c r="B419" s="183"/>
      <c r="C419" s="144"/>
      <c r="D419" s="167"/>
      <c r="E419" s="29">
        <f>E416</f>
        <v>1116</v>
      </c>
      <c r="F419" s="29">
        <f>F416</f>
        <v>986</v>
      </c>
      <c r="G419" s="19">
        <f>G416</f>
        <v>1573249.98</v>
      </c>
      <c r="H419" s="19">
        <f t="shared" ref="H419:W419" si="117">H416</f>
        <v>340832.2</v>
      </c>
      <c r="I419" s="19"/>
      <c r="J419" s="19">
        <f t="shared" si="117"/>
        <v>0</v>
      </c>
      <c r="K419" s="19">
        <f t="shared" si="117"/>
        <v>1232417.78</v>
      </c>
      <c r="L419" s="19"/>
      <c r="M419" s="19">
        <f t="shared" si="117"/>
        <v>0</v>
      </c>
      <c r="N419" s="19"/>
      <c r="O419" s="19">
        <f t="shared" si="117"/>
        <v>0</v>
      </c>
      <c r="P419" s="19"/>
      <c r="Q419" s="19">
        <f t="shared" si="117"/>
        <v>0</v>
      </c>
      <c r="R419" s="19"/>
      <c r="S419" s="19">
        <f t="shared" si="117"/>
        <v>0</v>
      </c>
      <c r="T419" s="19">
        <f t="shared" si="117"/>
        <v>0</v>
      </c>
      <c r="U419" s="19">
        <f t="shared" si="117"/>
        <v>0</v>
      </c>
      <c r="V419" s="19">
        <f t="shared" si="117"/>
        <v>0</v>
      </c>
      <c r="W419" s="19">
        <f t="shared" si="117"/>
        <v>1573249.98</v>
      </c>
      <c r="X419" s="20" t="s">
        <v>368</v>
      </c>
      <c r="Y419" s="20" t="s">
        <v>368</v>
      </c>
      <c r="Z419" s="156"/>
      <c r="AA419" s="155"/>
      <c r="AB419" s="157">
        <f>T419+V419+W419</f>
        <v>1573249.98</v>
      </c>
    </row>
    <row r="420" spans="1:28" s="116" customFormat="1" ht="17.25" customHeight="1" x14ac:dyDescent="0.25">
      <c r="A420" s="182" t="s">
        <v>244</v>
      </c>
      <c r="B420" s="182"/>
      <c r="C420" s="182"/>
      <c r="D420" s="182"/>
      <c r="E420" s="182"/>
      <c r="F420" s="182"/>
      <c r="G420" s="182"/>
      <c r="H420" s="182"/>
      <c r="I420" s="182"/>
      <c r="J420" s="182"/>
      <c r="K420" s="182"/>
      <c r="L420" s="182"/>
      <c r="M420" s="182"/>
      <c r="N420" s="182"/>
      <c r="O420" s="182"/>
      <c r="P420" s="182"/>
      <c r="Q420" s="182"/>
      <c r="R420" s="182"/>
      <c r="S420" s="182"/>
      <c r="T420" s="182"/>
      <c r="U420" s="182"/>
      <c r="V420" s="182"/>
      <c r="W420" s="182"/>
      <c r="X420" s="165"/>
      <c r="Y420" s="165"/>
      <c r="Z420" s="156"/>
      <c r="AA420" s="156"/>
    </row>
    <row r="421" spans="1:28" s="118" customFormat="1" ht="18" customHeight="1" x14ac:dyDescent="0.25">
      <c r="A421" s="165">
        <f>A416+1</f>
        <v>326</v>
      </c>
      <c r="B421" s="24" t="s">
        <v>352</v>
      </c>
      <c r="C421" s="142">
        <v>1955</v>
      </c>
      <c r="D421" s="165"/>
      <c r="E421" s="45">
        <v>296</v>
      </c>
      <c r="F421" s="45">
        <v>269.2</v>
      </c>
      <c r="G421" s="42">
        <f t="shared" ref="G421:G430" si="118">H421+J421+K421+M421+O421+Q421+S421</f>
        <v>1892371.0099999998</v>
      </c>
      <c r="H421" s="35">
        <f>ROUND((314.58+186.47+282.48+285.03+707.35)*F421,2)</f>
        <v>478074.97</v>
      </c>
      <c r="I421" s="35">
        <f>H421/F421</f>
        <v>1775.9099925705796</v>
      </c>
      <c r="J421" s="35">
        <v>0</v>
      </c>
      <c r="K421" s="35">
        <f>F421*3980.76</f>
        <v>1071620.5919999999</v>
      </c>
      <c r="L421" s="35">
        <f t="shared" ref="L421:L430" si="119">K421/F421</f>
        <v>3980.7599999999998</v>
      </c>
      <c r="M421" s="35">
        <v>0</v>
      </c>
      <c r="N421" s="35"/>
      <c r="O421" s="35">
        <f>F421*1272.94</f>
        <v>342675.44799999997</v>
      </c>
      <c r="P421" s="35">
        <f t="shared" ref="P421:P430" si="120">O421/F421</f>
        <v>1272.94</v>
      </c>
      <c r="Q421" s="35">
        <v>0</v>
      </c>
      <c r="R421" s="35"/>
      <c r="S421" s="35">
        <v>0</v>
      </c>
      <c r="T421" s="35">
        <v>0</v>
      </c>
      <c r="U421" s="35">
        <v>0</v>
      </c>
      <c r="V421" s="35">
        <v>0</v>
      </c>
      <c r="W421" s="42">
        <f>G421</f>
        <v>1892371.0099999998</v>
      </c>
      <c r="X421" s="165">
        <v>2016</v>
      </c>
      <c r="Y421" s="165">
        <v>2016</v>
      </c>
      <c r="Z421" s="155">
        <f>Z416+1</f>
        <v>165</v>
      </c>
      <c r="AA421" s="155">
        <f>AA416+1</f>
        <v>1</v>
      </c>
    </row>
    <row r="422" spans="1:28" s="118" customFormat="1" ht="18" customHeight="1" x14ac:dyDescent="0.25">
      <c r="A422" s="165">
        <f>A421+1</f>
        <v>327</v>
      </c>
      <c r="B422" s="24" t="s">
        <v>351</v>
      </c>
      <c r="C422" s="142">
        <v>1959</v>
      </c>
      <c r="D422" s="165"/>
      <c r="E422" s="45">
        <f>392.1+230.1+50.9+65</f>
        <v>738.1</v>
      </c>
      <c r="F422" s="45">
        <f>392.1+230.1+50.9-35.2-9.3</f>
        <v>628.6</v>
      </c>
      <c r="G422" s="42">
        <f t="shared" si="118"/>
        <v>4418812.8499999996</v>
      </c>
      <c r="H422" s="35">
        <f>ROUND((314.58+186.47+282.48+285.03+707.35)*F422,2)</f>
        <v>1116337.03</v>
      </c>
      <c r="I422" s="35">
        <f>H422/F422</f>
        <v>1775.9100063633471</v>
      </c>
      <c r="J422" s="35">
        <v>0</v>
      </c>
      <c r="K422" s="35">
        <f>F422*3980.76</f>
        <v>2502305.736</v>
      </c>
      <c r="L422" s="35">
        <f t="shared" si="119"/>
        <v>3980.7599999999998</v>
      </c>
      <c r="M422" s="35">
        <v>0</v>
      </c>
      <c r="N422" s="35"/>
      <c r="O422" s="35">
        <f>F422*1272.94</f>
        <v>800170.08400000003</v>
      </c>
      <c r="P422" s="35">
        <f t="shared" si="120"/>
        <v>1272.94</v>
      </c>
      <c r="Q422" s="35">
        <v>0</v>
      </c>
      <c r="R422" s="35"/>
      <c r="S422" s="35">
        <v>0</v>
      </c>
      <c r="T422" s="35">
        <v>0</v>
      </c>
      <c r="U422" s="35">
        <v>0</v>
      </c>
      <c r="V422" s="35">
        <v>0</v>
      </c>
      <c r="W422" s="42">
        <f>G422</f>
        <v>4418812.8499999996</v>
      </c>
      <c r="X422" s="165">
        <v>2016</v>
      </c>
      <c r="Y422" s="165">
        <v>2016</v>
      </c>
      <c r="Z422" s="155">
        <f>Z421+1</f>
        <v>166</v>
      </c>
      <c r="AA422" s="155">
        <f>AA421+1</f>
        <v>2</v>
      </c>
    </row>
    <row r="423" spans="1:28" s="118" customFormat="1" ht="18" customHeight="1" x14ac:dyDescent="0.25">
      <c r="A423" s="165">
        <f t="shared" ref="A423:A430" si="121">A422+1</f>
        <v>328</v>
      </c>
      <c r="B423" s="24" t="s">
        <v>397</v>
      </c>
      <c r="C423" s="142" t="s">
        <v>216</v>
      </c>
      <c r="D423" s="165"/>
      <c r="E423" s="45">
        <v>545.9</v>
      </c>
      <c r="F423" s="45">
        <v>500.2</v>
      </c>
      <c r="G423" s="42">
        <f t="shared" si="118"/>
        <v>3516210.92</v>
      </c>
      <c r="H423" s="35">
        <f>ROUND((314.58+186.47+282.48+285.03+707.35)*F423,2)</f>
        <v>888310.18</v>
      </c>
      <c r="I423" s="35">
        <f>H423/F423</f>
        <v>1775.9099960015994</v>
      </c>
      <c r="J423" s="35">
        <v>0</v>
      </c>
      <c r="K423" s="35">
        <f>F423*3980.76</f>
        <v>1991176.152</v>
      </c>
      <c r="L423" s="35">
        <f t="shared" si="119"/>
        <v>3980.76</v>
      </c>
      <c r="M423" s="35">
        <v>0</v>
      </c>
      <c r="N423" s="35"/>
      <c r="O423" s="35">
        <f>F423*1272.94</f>
        <v>636724.58799999999</v>
      </c>
      <c r="P423" s="35">
        <f t="shared" si="120"/>
        <v>1272.94</v>
      </c>
      <c r="Q423" s="35">
        <v>0</v>
      </c>
      <c r="R423" s="35"/>
      <c r="S423" s="35">
        <v>0</v>
      </c>
      <c r="T423" s="35">
        <v>0</v>
      </c>
      <c r="U423" s="35">
        <v>0</v>
      </c>
      <c r="V423" s="35">
        <v>0</v>
      </c>
      <c r="W423" s="42">
        <f>G423</f>
        <v>3516210.92</v>
      </c>
      <c r="X423" s="165">
        <v>2015</v>
      </c>
      <c r="Y423" s="165">
        <v>2016</v>
      </c>
      <c r="Z423" s="155">
        <f t="shared" ref="Z423:Z430" si="122">Z422+1</f>
        <v>167</v>
      </c>
      <c r="AA423" s="155">
        <f t="shared" ref="AA423:AA430" si="123">AA422+1</f>
        <v>3</v>
      </c>
    </row>
    <row r="424" spans="1:28" s="118" customFormat="1" ht="18" customHeight="1" x14ac:dyDescent="0.25">
      <c r="A424" s="165">
        <f t="shared" si="121"/>
        <v>329</v>
      </c>
      <c r="B424" s="24" t="s">
        <v>398</v>
      </c>
      <c r="C424" s="142">
        <v>1965</v>
      </c>
      <c r="D424" s="165"/>
      <c r="E424" s="45">
        <v>1696.2</v>
      </c>
      <c r="F424" s="45">
        <v>1615.7</v>
      </c>
      <c r="G424" s="42">
        <f t="shared" si="118"/>
        <v>606705</v>
      </c>
      <c r="H424" s="35">
        <f>ROUND(F424*360.93,2)+23550.4</f>
        <v>606705</v>
      </c>
      <c r="I424" s="35">
        <f>H424/F424</f>
        <v>375.50597264343628</v>
      </c>
      <c r="J424" s="35">
        <v>0</v>
      </c>
      <c r="K424" s="35">
        <v>0</v>
      </c>
      <c r="L424" s="35">
        <f t="shared" si="119"/>
        <v>0</v>
      </c>
      <c r="M424" s="35">
        <v>0</v>
      </c>
      <c r="N424" s="35"/>
      <c r="O424" s="35">
        <v>0</v>
      </c>
      <c r="P424" s="35">
        <f t="shared" si="120"/>
        <v>0</v>
      </c>
      <c r="Q424" s="35">
        <v>0</v>
      </c>
      <c r="R424" s="35"/>
      <c r="S424" s="35">
        <v>0</v>
      </c>
      <c r="T424" s="35">
        <v>0</v>
      </c>
      <c r="U424" s="35">
        <v>0</v>
      </c>
      <c r="V424" s="35">
        <v>23550.400000000001</v>
      </c>
      <c r="W424" s="42">
        <v>583154.6</v>
      </c>
      <c r="X424" s="165">
        <v>2016</v>
      </c>
      <c r="Y424" s="165">
        <v>2016</v>
      </c>
      <c r="Z424" s="155">
        <f t="shared" si="122"/>
        <v>168</v>
      </c>
      <c r="AA424" s="155">
        <f t="shared" si="123"/>
        <v>4</v>
      </c>
    </row>
    <row r="425" spans="1:28" s="118" customFormat="1" ht="18" customHeight="1" x14ac:dyDescent="0.25">
      <c r="A425" s="165">
        <f t="shared" si="121"/>
        <v>330</v>
      </c>
      <c r="B425" s="24" t="s">
        <v>399</v>
      </c>
      <c r="C425" s="142">
        <v>1959</v>
      </c>
      <c r="D425" s="165"/>
      <c r="E425" s="45">
        <v>1000.8</v>
      </c>
      <c r="F425" s="45">
        <v>906.6</v>
      </c>
      <c r="G425" s="42">
        <f t="shared" si="118"/>
        <v>2245929.25</v>
      </c>
      <c r="H425" s="35">
        <v>0</v>
      </c>
      <c r="I425" s="35"/>
      <c r="J425" s="35">
        <v>0</v>
      </c>
      <c r="K425" s="35">
        <v>1446217.39</v>
      </c>
      <c r="L425" s="35">
        <f t="shared" si="119"/>
        <v>1595.2100044120889</v>
      </c>
      <c r="M425" s="35">
        <v>0</v>
      </c>
      <c r="N425" s="35"/>
      <c r="O425" s="35">
        <v>799711.86</v>
      </c>
      <c r="P425" s="35">
        <f t="shared" si="120"/>
        <v>882.09999999999991</v>
      </c>
      <c r="Q425" s="35">
        <v>0</v>
      </c>
      <c r="R425" s="35"/>
      <c r="S425" s="35">
        <v>0</v>
      </c>
      <c r="T425" s="35">
        <v>0</v>
      </c>
      <c r="U425" s="35">
        <v>0</v>
      </c>
      <c r="V425" s="35">
        <v>0</v>
      </c>
      <c r="W425" s="42">
        <f>G425</f>
        <v>2245929.25</v>
      </c>
      <c r="X425" s="165">
        <v>2016</v>
      </c>
      <c r="Y425" s="165">
        <v>2016</v>
      </c>
      <c r="Z425" s="155">
        <f t="shared" si="122"/>
        <v>169</v>
      </c>
      <c r="AA425" s="155">
        <f t="shared" si="123"/>
        <v>5</v>
      </c>
    </row>
    <row r="426" spans="1:28" s="118" customFormat="1" ht="18" customHeight="1" x14ac:dyDescent="0.25">
      <c r="A426" s="165">
        <f t="shared" si="121"/>
        <v>331</v>
      </c>
      <c r="B426" s="24" t="s">
        <v>350</v>
      </c>
      <c r="C426" s="142">
        <v>1982</v>
      </c>
      <c r="D426" s="165"/>
      <c r="E426" s="45">
        <v>3065.4</v>
      </c>
      <c r="F426" s="45">
        <v>2711.7</v>
      </c>
      <c r="G426" s="42">
        <f t="shared" si="118"/>
        <v>6015092.9399999995</v>
      </c>
      <c r="H426" s="35">
        <f>ROUND((518.04+818.06)*F426,2)</f>
        <v>3623102.37</v>
      </c>
      <c r="I426" s="35">
        <f>H426/F426</f>
        <v>1336.1000000000001</v>
      </c>
      <c r="J426" s="35">
        <v>0</v>
      </c>
      <c r="K426" s="35">
        <v>0</v>
      </c>
      <c r="L426" s="35">
        <f t="shared" si="119"/>
        <v>0</v>
      </c>
      <c r="M426" s="35">
        <v>0</v>
      </c>
      <c r="N426" s="35"/>
      <c r="O426" s="35">
        <v>2391990.5699999998</v>
      </c>
      <c r="P426" s="35">
        <f t="shared" si="120"/>
        <v>882.1</v>
      </c>
      <c r="Q426" s="35">
        <v>0</v>
      </c>
      <c r="R426" s="35"/>
      <c r="S426" s="35">
        <v>0</v>
      </c>
      <c r="T426" s="35">
        <v>0</v>
      </c>
      <c r="U426" s="35">
        <v>0</v>
      </c>
      <c r="V426" s="35">
        <v>0</v>
      </c>
      <c r="W426" s="42">
        <f>G426</f>
        <v>6015092.9399999995</v>
      </c>
      <c r="X426" s="165">
        <v>2016</v>
      </c>
      <c r="Y426" s="165">
        <v>2016</v>
      </c>
      <c r="Z426" s="155">
        <f t="shared" si="122"/>
        <v>170</v>
      </c>
      <c r="AA426" s="155">
        <f t="shared" si="123"/>
        <v>6</v>
      </c>
    </row>
    <row r="427" spans="1:28" s="118" customFormat="1" ht="18" customHeight="1" x14ac:dyDescent="0.25">
      <c r="A427" s="165">
        <f t="shared" si="121"/>
        <v>332</v>
      </c>
      <c r="B427" s="24" t="s">
        <v>245</v>
      </c>
      <c r="C427" s="142">
        <v>1956</v>
      </c>
      <c r="D427" s="165"/>
      <c r="E427" s="45">
        <v>508</v>
      </c>
      <c r="F427" s="40">
        <v>469.2</v>
      </c>
      <c r="G427" s="42">
        <f t="shared" si="118"/>
        <v>1311892.05</v>
      </c>
      <c r="H427" s="35">
        <f>696503.94+84751.06</f>
        <v>781255</v>
      </c>
      <c r="I427" s="35">
        <f>H427/F427</f>
        <v>1665.0788576300085</v>
      </c>
      <c r="J427" s="35">
        <v>0</v>
      </c>
      <c r="K427" s="35">
        <v>0</v>
      </c>
      <c r="L427" s="35">
        <f t="shared" si="119"/>
        <v>0</v>
      </c>
      <c r="M427" s="35">
        <v>116755.73</v>
      </c>
      <c r="N427" s="35">
        <f>M427/F427</f>
        <v>248.84000426257458</v>
      </c>
      <c r="O427" s="35">
        <v>413881.32</v>
      </c>
      <c r="P427" s="35">
        <f t="shared" si="120"/>
        <v>882.1</v>
      </c>
      <c r="Q427" s="35">
        <v>0</v>
      </c>
      <c r="R427" s="35"/>
      <c r="S427" s="35">
        <v>0</v>
      </c>
      <c r="T427" s="35">
        <v>0</v>
      </c>
      <c r="U427" s="35">
        <v>0</v>
      </c>
      <c r="V427" s="35">
        <v>84751.06</v>
      </c>
      <c r="W427" s="42">
        <v>1227140.99</v>
      </c>
      <c r="X427" s="165">
        <v>2015</v>
      </c>
      <c r="Y427" s="165">
        <v>2016</v>
      </c>
      <c r="Z427" s="155">
        <f t="shared" si="122"/>
        <v>171</v>
      </c>
      <c r="AA427" s="155">
        <f t="shared" si="123"/>
        <v>7</v>
      </c>
    </row>
    <row r="428" spans="1:28" s="118" customFormat="1" ht="18" customHeight="1" x14ac:dyDescent="0.25">
      <c r="A428" s="165">
        <f t="shared" si="121"/>
        <v>333</v>
      </c>
      <c r="B428" s="24" t="s">
        <v>349</v>
      </c>
      <c r="C428" s="142">
        <v>1995</v>
      </c>
      <c r="D428" s="165"/>
      <c r="E428" s="45">
        <v>4172.3</v>
      </c>
      <c r="F428" s="45">
        <v>3934.4</v>
      </c>
      <c r="G428" s="42">
        <f t="shared" si="118"/>
        <v>2054543.68</v>
      </c>
      <c r="H428" s="35">
        <v>1163126.67</v>
      </c>
      <c r="I428" s="35">
        <f>H428/F428</f>
        <v>295.62999949166323</v>
      </c>
      <c r="J428" s="35">
        <v>0</v>
      </c>
      <c r="K428" s="35">
        <v>0</v>
      </c>
      <c r="L428" s="35">
        <f t="shared" si="119"/>
        <v>0</v>
      </c>
      <c r="M428" s="35">
        <v>0</v>
      </c>
      <c r="N428" s="35"/>
      <c r="O428" s="35">
        <v>891417.01</v>
      </c>
      <c r="P428" s="35">
        <f t="shared" si="120"/>
        <v>226.57000050833673</v>
      </c>
      <c r="Q428" s="35">
        <v>0</v>
      </c>
      <c r="R428" s="35"/>
      <c r="S428" s="35">
        <v>0</v>
      </c>
      <c r="T428" s="35">
        <v>0</v>
      </c>
      <c r="U428" s="35">
        <v>0</v>
      </c>
      <c r="V428" s="35">
        <v>0</v>
      </c>
      <c r="W428" s="42">
        <f>G428</f>
        <v>2054543.68</v>
      </c>
      <c r="X428" s="165">
        <v>2016</v>
      </c>
      <c r="Y428" s="165">
        <v>2016</v>
      </c>
      <c r="Z428" s="155">
        <f t="shared" si="122"/>
        <v>172</v>
      </c>
      <c r="AA428" s="155">
        <f t="shared" si="123"/>
        <v>8</v>
      </c>
    </row>
    <row r="429" spans="1:28" s="118" customFormat="1" ht="18" customHeight="1" x14ac:dyDescent="0.25">
      <c r="A429" s="165">
        <f t="shared" si="121"/>
        <v>334</v>
      </c>
      <c r="B429" s="44" t="s">
        <v>353</v>
      </c>
      <c r="C429" s="142">
        <v>1964</v>
      </c>
      <c r="D429" s="165"/>
      <c r="E429" s="45">
        <v>3531.5</v>
      </c>
      <c r="F429" s="45">
        <v>3274.1</v>
      </c>
      <c r="G429" s="42">
        <f t="shared" si="118"/>
        <v>2994295.41</v>
      </c>
      <c r="H429" s="35">
        <v>0</v>
      </c>
      <c r="I429" s="35"/>
      <c r="J429" s="35">
        <v>0</v>
      </c>
      <c r="K429" s="35">
        <v>2994295.41</v>
      </c>
      <c r="L429" s="35">
        <f t="shared" si="119"/>
        <v>914.53999877829028</v>
      </c>
      <c r="M429" s="35">
        <v>0</v>
      </c>
      <c r="N429" s="35"/>
      <c r="O429" s="35">
        <v>0</v>
      </c>
      <c r="P429" s="35">
        <f t="shared" si="120"/>
        <v>0</v>
      </c>
      <c r="Q429" s="35">
        <v>0</v>
      </c>
      <c r="R429" s="35"/>
      <c r="S429" s="35">
        <v>0</v>
      </c>
      <c r="T429" s="35">
        <v>0</v>
      </c>
      <c r="U429" s="35">
        <v>0</v>
      </c>
      <c r="V429" s="35">
        <v>0</v>
      </c>
      <c r="W429" s="42">
        <f>G429</f>
        <v>2994295.41</v>
      </c>
      <c r="X429" s="165">
        <v>2016</v>
      </c>
      <c r="Y429" s="165">
        <v>2016</v>
      </c>
      <c r="Z429" s="155">
        <f t="shared" si="122"/>
        <v>173</v>
      </c>
      <c r="AA429" s="155">
        <f t="shared" si="123"/>
        <v>9</v>
      </c>
    </row>
    <row r="430" spans="1:28" s="118" customFormat="1" ht="18" customHeight="1" x14ac:dyDescent="0.25">
      <c r="A430" s="165">
        <f t="shared" si="121"/>
        <v>335</v>
      </c>
      <c r="B430" s="24" t="s">
        <v>246</v>
      </c>
      <c r="C430" s="142" t="s">
        <v>206</v>
      </c>
      <c r="D430" s="165"/>
      <c r="E430" s="45">
        <v>2449.1</v>
      </c>
      <c r="F430" s="45">
        <v>2321.1</v>
      </c>
      <c r="G430" s="42">
        <f t="shared" si="118"/>
        <v>7510998.9900000002</v>
      </c>
      <c r="H430" s="35">
        <v>3180361.25</v>
      </c>
      <c r="I430" s="42">
        <f>H430/F430</f>
        <v>1370.1957046228083</v>
      </c>
      <c r="J430" s="35">
        <v>0</v>
      </c>
      <c r="K430" s="35">
        <v>2697467.41</v>
      </c>
      <c r="L430" s="35">
        <f t="shared" si="119"/>
        <v>1162.1504502175694</v>
      </c>
      <c r="M430" s="35">
        <v>0</v>
      </c>
      <c r="N430" s="35"/>
      <c r="O430" s="35">
        <v>1633170.33</v>
      </c>
      <c r="P430" s="35">
        <f t="shared" si="120"/>
        <v>703.61911593640957</v>
      </c>
      <c r="Q430" s="35">
        <v>0</v>
      </c>
      <c r="R430" s="35"/>
      <c r="S430" s="35">
        <v>0</v>
      </c>
      <c r="T430" s="35">
        <v>0</v>
      </c>
      <c r="U430" s="35">
        <v>0</v>
      </c>
      <c r="V430" s="35">
        <v>0</v>
      </c>
      <c r="W430" s="42">
        <f>G430</f>
        <v>7510998.9900000002</v>
      </c>
      <c r="X430" s="165">
        <v>2015</v>
      </c>
      <c r="Y430" s="165">
        <v>2016</v>
      </c>
      <c r="Z430" s="155">
        <f t="shared" si="122"/>
        <v>174</v>
      </c>
      <c r="AA430" s="155">
        <f t="shared" si="123"/>
        <v>10</v>
      </c>
    </row>
    <row r="431" spans="1:28" s="116" customFormat="1" ht="19.5" customHeight="1" x14ac:dyDescent="0.25">
      <c r="A431" s="183" t="s">
        <v>173</v>
      </c>
      <c r="B431" s="183"/>
      <c r="C431" s="147"/>
      <c r="D431" s="64"/>
      <c r="E431" s="29">
        <v>0</v>
      </c>
      <c r="F431" s="28">
        <v>0</v>
      </c>
      <c r="G431" s="19">
        <v>0</v>
      </c>
      <c r="H431" s="28">
        <v>0</v>
      </c>
      <c r="I431" s="28"/>
      <c r="J431" s="28">
        <v>0</v>
      </c>
      <c r="K431" s="28">
        <v>0</v>
      </c>
      <c r="L431" s="28"/>
      <c r="M431" s="28">
        <v>0</v>
      </c>
      <c r="N431" s="28"/>
      <c r="O431" s="28">
        <v>0</v>
      </c>
      <c r="P431" s="28"/>
      <c r="Q431" s="28">
        <v>0</v>
      </c>
      <c r="R431" s="28"/>
      <c r="S431" s="28">
        <v>0</v>
      </c>
      <c r="T431" s="28">
        <v>0</v>
      </c>
      <c r="U431" s="28">
        <v>0</v>
      </c>
      <c r="V431" s="28">
        <v>0</v>
      </c>
      <c r="W431" s="19">
        <v>0</v>
      </c>
      <c r="X431" s="20" t="s">
        <v>368</v>
      </c>
      <c r="Y431" s="20" t="s">
        <v>368</v>
      </c>
      <c r="Z431" s="156"/>
      <c r="AA431" s="155"/>
    </row>
    <row r="432" spans="1:28" s="116" customFormat="1" ht="19.5" customHeight="1" x14ac:dyDescent="0.25">
      <c r="A432" s="183" t="s">
        <v>171</v>
      </c>
      <c r="B432" s="183"/>
      <c r="C432" s="144"/>
      <c r="D432" s="167"/>
      <c r="E432" s="29">
        <v>0</v>
      </c>
      <c r="F432" s="29">
        <v>0</v>
      </c>
      <c r="G432" s="19">
        <v>0</v>
      </c>
      <c r="H432" s="29">
        <v>0</v>
      </c>
      <c r="I432" s="29">
        <v>0</v>
      </c>
      <c r="J432" s="29">
        <v>0</v>
      </c>
      <c r="K432" s="29">
        <v>0</v>
      </c>
      <c r="L432" s="29">
        <v>0</v>
      </c>
      <c r="M432" s="29">
        <v>0</v>
      </c>
      <c r="N432" s="29">
        <v>0</v>
      </c>
      <c r="O432" s="29">
        <v>0</v>
      </c>
      <c r="P432" s="29">
        <v>0</v>
      </c>
      <c r="Q432" s="29">
        <v>0</v>
      </c>
      <c r="R432" s="29">
        <v>0</v>
      </c>
      <c r="S432" s="29">
        <v>0</v>
      </c>
      <c r="T432" s="29">
        <v>0</v>
      </c>
      <c r="U432" s="29">
        <v>0</v>
      </c>
      <c r="V432" s="29">
        <v>0</v>
      </c>
      <c r="W432" s="19">
        <v>0</v>
      </c>
      <c r="X432" s="20" t="s">
        <v>368</v>
      </c>
      <c r="Y432" s="20" t="s">
        <v>368</v>
      </c>
      <c r="Z432" s="156"/>
      <c r="AA432" s="155"/>
    </row>
    <row r="433" spans="1:28" s="116" customFormat="1" ht="19.5" customHeight="1" x14ac:dyDescent="0.25">
      <c r="A433" s="183" t="s">
        <v>172</v>
      </c>
      <c r="B433" s="183"/>
      <c r="C433" s="144"/>
      <c r="D433" s="167"/>
      <c r="E433" s="29">
        <f>SUM(E421:E430)</f>
        <v>18003.3</v>
      </c>
      <c r="F433" s="29">
        <f t="shared" ref="F433:W433" si="124">SUM(F421:F430)</f>
        <v>16630.8</v>
      </c>
      <c r="G433" s="19">
        <f t="shared" si="124"/>
        <v>32566852.100000001</v>
      </c>
      <c r="H433" s="19">
        <f t="shared" si="124"/>
        <v>11837272.470000001</v>
      </c>
      <c r="I433" s="19">
        <f t="shared" si="124"/>
        <v>10370.240529323442</v>
      </c>
      <c r="J433" s="19">
        <f t="shared" si="124"/>
        <v>0</v>
      </c>
      <c r="K433" s="19">
        <f t="shared" si="124"/>
        <v>12703082.689999999</v>
      </c>
      <c r="L433" s="19">
        <f t="shared" si="124"/>
        <v>15614.180453407949</v>
      </c>
      <c r="M433" s="19">
        <f t="shared" si="124"/>
        <v>116755.73</v>
      </c>
      <c r="N433" s="19">
        <f t="shared" si="124"/>
        <v>248.84000426257458</v>
      </c>
      <c r="O433" s="19">
        <f t="shared" si="124"/>
        <v>7909741.21</v>
      </c>
      <c r="P433" s="19">
        <f t="shared" si="124"/>
        <v>7395.3091164447469</v>
      </c>
      <c r="Q433" s="19">
        <f t="shared" si="124"/>
        <v>0</v>
      </c>
      <c r="R433" s="19">
        <f t="shared" si="124"/>
        <v>0</v>
      </c>
      <c r="S433" s="19">
        <f t="shared" si="124"/>
        <v>0</v>
      </c>
      <c r="T433" s="19">
        <f t="shared" si="124"/>
        <v>0</v>
      </c>
      <c r="U433" s="19">
        <f t="shared" si="124"/>
        <v>0</v>
      </c>
      <c r="V433" s="19">
        <f t="shared" si="124"/>
        <v>108301.45999999999</v>
      </c>
      <c r="W433" s="19">
        <f t="shared" si="124"/>
        <v>32458550.640000001</v>
      </c>
      <c r="X433" s="20" t="s">
        <v>368</v>
      </c>
      <c r="Y433" s="20" t="s">
        <v>368</v>
      </c>
      <c r="Z433" s="156"/>
      <c r="AA433" s="156"/>
      <c r="AB433" s="157">
        <f>T433+V433+W433</f>
        <v>32566852.100000001</v>
      </c>
    </row>
    <row r="434" spans="1:28" s="116" customFormat="1" ht="17.25" customHeight="1" x14ac:dyDescent="0.25">
      <c r="A434" s="182" t="s">
        <v>356</v>
      </c>
      <c r="B434" s="182"/>
      <c r="C434" s="182"/>
      <c r="D434" s="182"/>
      <c r="E434" s="182"/>
      <c r="F434" s="182"/>
      <c r="G434" s="182"/>
      <c r="H434" s="182"/>
      <c r="I434" s="182"/>
      <c r="J434" s="182"/>
      <c r="K434" s="182"/>
      <c r="L434" s="182"/>
      <c r="M434" s="182"/>
      <c r="N434" s="182"/>
      <c r="O434" s="182"/>
      <c r="P434" s="182"/>
      <c r="Q434" s="182"/>
      <c r="R434" s="182"/>
      <c r="S434" s="182"/>
      <c r="T434" s="182"/>
      <c r="U434" s="182"/>
      <c r="V434" s="182"/>
      <c r="W434" s="182"/>
      <c r="X434" s="167"/>
      <c r="Y434" s="167"/>
      <c r="Z434" s="156"/>
      <c r="AA434" s="156"/>
    </row>
    <row r="435" spans="1:28" s="116" customFormat="1" ht="18" customHeight="1" x14ac:dyDescent="0.25">
      <c r="A435" s="165">
        <f>A430+1</f>
        <v>336</v>
      </c>
      <c r="B435" s="24" t="s">
        <v>510</v>
      </c>
      <c r="C435" s="142">
        <v>1966</v>
      </c>
      <c r="D435" s="165"/>
      <c r="E435" s="81">
        <v>1753</v>
      </c>
      <c r="F435" s="45">
        <v>1631.8</v>
      </c>
      <c r="G435" s="42">
        <f>H435+J435+K435+M435+O435+Q435+S435</f>
        <v>2603063.6800000002</v>
      </c>
      <c r="H435" s="35">
        <v>0</v>
      </c>
      <c r="I435" s="35"/>
      <c r="J435" s="35">
        <v>0</v>
      </c>
      <c r="K435" s="76">
        <v>2603063.6800000002</v>
      </c>
      <c r="L435" s="76">
        <f>K435/F435</f>
        <v>1595.2100012256406</v>
      </c>
      <c r="M435" s="35">
        <v>0</v>
      </c>
      <c r="N435" s="35"/>
      <c r="O435" s="35">
        <v>0</v>
      </c>
      <c r="P435" s="35"/>
      <c r="Q435" s="35">
        <v>0</v>
      </c>
      <c r="R435" s="35"/>
      <c r="S435" s="35">
        <v>0</v>
      </c>
      <c r="T435" s="35">
        <v>0</v>
      </c>
      <c r="U435" s="35">
        <v>0</v>
      </c>
      <c r="V435" s="35">
        <v>0</v>
      </c>
      <c r="W435" s="42">
        <f>G435</f>
        <v>2603063.6800000002</v>
      </c>
      <c r="X435" s="165">
        <v>2016</v>
      </c>
      <c r="Y435" s="165">
        <v>2016</v>
      </c>
      <c r="Z435" s="156">
        <f>Z430+1</f>
        <v>175</v>
      </c>
      <c r="AA435" s="156"/>
    </row>
    <row r="436" spans="1:28" s="116" customFormat="1" ht="19.5" customHeight="1" x14ac:dyDescent="0.25">
      <c r="A436" s="183" t="s">
        <v>173</v>
      </c>
      <c r="B436" s="183"/>
      <c r="C436" s="147"/>
      <c r="D436" s="165"/>
      <c r="E436" s="131">
        <v>0</v>
      </c>
      <c r="F436" s="131">
        <v>0</v>
      </c>
      <c r="G436" s="19">
        <v>0</v>
      </c>
      <c r="H436" s="28">
        <v>0</v>
      </c>
      <c r="I436" s="28"/>
      <c r="J436" s="28">
        <v>0</v>
      </c>
      <c r="K436" s="28">
        <v>0</v>
      </c>
      <c r="L436" s="28"/>
      <c r="M436" s="28">
        <v>0</v>
      </c>
      <c r="N436" s="28"/>
      <c r="O436" s="28">
        <v>0</v>
      </c>
      <c r="P436" s="28"/>
      <c r="Q436" s="28">
        <v>0</v>
      </c>
      <c r="R436" s="28"/>
      <c r="S436" s="28">
        <v>0</v>
      </c>
      <c r="T436" s="28">
        <v>0</v>
      </c>
      <c r="U436" s="28">
        <v>0</v>
      </c>
      <c r="V436" s="28">
        <v>0</v>
      </c>
      <c r="W436" s="19">
        <v>0</v>
      </c>
      <c r="X436" s="20" t="s">
        <v>368</v>
      </c>
      <c r="Y436" s="20" t="s">
        <v>368</v>
      </c>
      <c r="Z436" s="156"/>
      <c r="AA436" s="156"/>
    </row>
    <row r="437" spans="1:28" s="116" customFormat="1" ht="19.5" customHeight="1" x14ac:dyDescent="0.25">
      <c r="A437" s="183" t="s">
        <v>171</v>
      </c>
      <c r="B437" s="183"/>
      <c r="C437" s="147"/>
      <c r="D437" s="165"/>
      <c r="E437" s="131">
        <v>0</v>
      </c>
      <c r="F437" s="131">
        <v>0</v>
      </c>
      <c r="G437" s="19">
        <v>0</v>
      </c>
      <c r="H437" s="28">
        <v>0</v>
      </c>
      <c r="I437" s="28"/>
      <c r="J437" s="28">
        <v>0</v>
      </c>
      <c r="K437" s="28">
        <v>0</v>
      </c>
      <c r="L437" s="28"/>
      <c r="M437" s="28">
        <v>0</v>
      </c>
      <c r="N437" s="28"/>
      <c r="O437" s="28">
        <v>0</v>
      </c>
      <c r="P437" s="28"/>
      <c r="Q437" s="28">
        <v>0</v>
      </c>
      <c r="R437" s="28"/>
      <c r="S437" s="28">
        <v>0</v>
      </c>
      <c r="T437" s="28">
        <v>0</v>
      </c>
      <c r="U437" s="28">
        <v>0</v>
      </c>
      <c r="V437" s="28">
        <v>0</v>
      </c>
      <c r="W437" s="19">
        <v>0</v>
      </c>
      <c r="X437" s="20" t="s">
        <v>368</v>
      </c>
      <c r="Y437" s="20" t="s">
        <v>368</v>
      </c>
      <c r="Z437" s="156"/>
      <c r="AA437" s="156"/>
    </row>
    <row r="438" spans="1:28" s="116" customFormat="1" ht="19.5" customHeight="1" x14ac:dyDescent="0.25">
      <c r="A438" s="183" t="s">
        <v>172</v>
      </c>
      <c r="B438" s="183"/>
      <c r="C438" s="144"/>
      <c r="D438" s="167"/>
      <c r="E438" s="29">
        <f>E435</f>
        <v>1753</v>
      </c>
      <c r="F438" s="29">
        <f>F435</f>
        <v>1631.8</v>
      </c>
      <c r="G438" s="19">
        <f>G435</f>
        <v>2603063.6800000002</v>
      </c>
      <c r="H438" s="28">
        <f>H435</f>
        <v>0</v>
      </c>
      <c r="I438" s="28"/>
      <c r="J438" s="28">
        <f>J435</f>
        <v>0</v>
      </c>
      <c r="K438" s="28">
        <f>K435</f>
        <v>2603063.6800000002</v>
      </c>
      <c r="L438" s="28"/>
      <c r="M438" s="28">
        <f>M435</f>
        <v>0</v>
      </c>
      <c r="N438" s="28"/>
      <c r="O438" s="28">
        <f>O435</f>
        <v>0</v>
      </c>
      <c r="P438" s="28"/>
      <c r="Q438" s="28">
        <f>Q435</f>
        <v>0</v>
      </c>
      <c r="R438" s="28"/>
      <c r="S438" s="28">
        <f>S435</f>
        <v>0</v>
      </c>
      <c r="T438" s="28">
        <f>T435</f>
        <v>0</v>
      </c>
      <c r="U438" s="28">
        <f>U435</f>
        <v>0</v>
      </c>
      <c r="V438" s="28">
        <f>V435</f>
        <v>0</v>
      </c>
      <c r="W438" s="19">
        <f>W435</f>
        <v>2603063.6800000002</v>
      </c>
      <c r="X438" s="20" t="s">
        <v>368</v>
      </c>
      <c r="Y438" s="20" t="s">
        <v>368</v>
      </c>
      <c r="Z438" s="156"/>
      <c r="AA438" s="156"/>
      <c r="AB438" s="157">
        <f>T438+V438+W438</f>
        <v>2603063.6800000002</v>
      </c>
    </row>
    <row r="439" spans="1:28" s="116" customFormat="1" ht="17.25" customHeight="1" x14ac:dyDescent="0.25">
      <c r="A439" s="182" t="s">
        <v>357</v>
      </c>
      <c r="B439" s="182"/>
      <c r="C439" s="182"/>
      <c r="D439" s="182"/>
      <c r="E439" s="182"/>
      <c r="F439" s="182"/>
      <c r="G439" s="182"/>
      <c r="H439" s="182"/>
      <c r="I439" s="182"/>
      <c r="J439" s="182"/>
      <c r="K439" s="182"/>
      <c r="L439" s="182"/>
      <c r="M439" s="182"/>
      <c r="N439" s="182"/>
      <c r="O439" s="182"/>
      <c r="P439" s="182"/>
      <c r="Q439" s="182"/>
      <c r="R439" s="182"/>
      <c r="S439" s="182"/>
      <c r="T439" s="182"/>
      <c r="U439" s="182"/>
      <c r="V439" s="182"/>
      <c r="W439" s="182"/>
      <c r="X439" s="167"/>
      <c r="Y439" s="167"/>
      <c r="Z439" s="156"/>
      <c r="AA439" s="156"/>
    </row>
    <row r="440" spans="1:28" s="116" customFormat="1" ht="18" customHeight="1" x14ac:dyDescent="0.3">
      <c r="A440" s="82">
        <f>A435+1</f>
        <v>337</v>
      </c>
      <c r="B440" s="83" t="s">
        <v>358</v>
      </c>
      <c r="C440" s="142">
        <v>1977</v>
      </c>
      <c r="D440" s="165"/>
      <c r="E440" s="36">
        <v>4126.7</v>
      </c>
      <c r="F440" s="132">
        <v>3382.8</v>
      </c>
      <c r="G440" s="42">
        <f>H440+J440+K440+M440+O440+Q440+S440</f>
        <v>1238104.8</v>
      </c>
      <c r="H440" s="23">
        <f>ROUND((151+215)*F440,2)</f>
        <v>1238104.8</v>
      </c>
      <c r="I440" s="35">
        <f>H440/F440</f>
        <v>366</v>
      </c>
      <c r="J440" s="35">
        <v>0</v>
      </c>
      <c r="K440" s="35">
        <v>0</v>
      </c>
      <c r="L440" s="35"/>
      <c r="M440" s="35">
        <v>0</v>
      </c>
      <c r="N440" s="35"/>
      <c r="O440" s="35">
        <v>0</v>
      </c>
      <c r="P440" s="35"/>
      <c r="Q440" s="35">
        <v>0</v>
      </c>
      <c r="R440" s="35"/>
      <c r="S440" s="35">
        <v>0</v>
      </c>
      <c r="T440" s="35">
        <v>0</v>
      </c>
      <c r="U440" s="35">
        <v>0</v>
      </c>
      <c r="V440" s="42">
        <f>G440-W440</f>
        <v>101977.68999999994</v>
      </c>
      <c r="W440" s="42">
        <v>1136127.1100000001</v>
      </c>
      <c r="X440" s="165">
        <v>2016</v>
      </c>
      <c r="Y440" s="165">
        <v>2016</v>
      </c>
      <c r="Z440" s="156">
        <f>Z435+1</f>
        <v>176</v>
      </c>
      <c r="AA440" s="156">
        <f>AA435+1</f>
        <v>1</v>
      </c>
    </row>
    <row r="441" spans="1:28" s="116" customFormat="1" ht="18" customHeight="1" x14ac:dyDescent="0.3">
      <c r="A441" s="82">
        <f>A440+1</f>
        <v>338</v>
      </c>
      <c r="B441" s="83" t="s">
        <v>359</v>
      </c>
      <c r="C441" s="142">
        <v>1977</v>
      </c>
      <c r="D441" s="165"/>
      <c r="E441" s="36">
        <v>2703.2</v>
      </c>
      <c r="F441" s="132">
        <v>2686.2</v>
      </c>
      <c r="G441" s="42">
        <f>H441+J441+K441+M441+O441+Q441+S441</f>
        <v>942802.48</v>
      </c>
      <c r="H441" s="23">
        <f>ROUND((145.42+205.56)*F441,2)</f>
        <v>942802.48</v>
      </c>
      <c r="I441" s="35">
        <f>H441/F441</f>
        <v>350.98000148909239</v>
      </c>
      <c r="J441" s="35">
        <v>0</v>
      </c>
      <c r="K441" s="35">
        <v>0</v>
      </c>
      <c r="L441" s="35"/>
      <c r="M441" s="35">
        <v>0</v>
      </c>
      <c r="N441" s="35"/>
      <c r="O441" s="35">
        <v>0</v>
      </c>
      <c r="P441" s="35"/>
      <c r="Q441" s="35">
        <v>0</v>
      </c>
      <c r="R441" s="35"/>
      <c r="S441" s="35">
        <v>0</v>
      </c>
      <c r="T441" s="35">
        <v>0</v>
      </c>
      <c r="U441" s="35">
        <v>0</v>
      </c>
      <c r="V441" s="42">
        <f>G441-W441</f>
        <v>77654.839999999967</v>
      </c>
      <c r="W441" s="42">
        <v>865147.64</v>
      </c>
      <c r="X441" s="165">
        <v>2016</v>
      </c>
      <c r="Y441" s="165">
        <v>2016</v>
      </c>
      <c r="Z441" s="156">
        <f>Z440+1</f>
        <v>177</v>
      </c>
      <c r="AA441" s="156">
        <f>AA440+1</f>
        <v>2</v>
      </c>
    </row>
    <row r="442" spans="1:28" s="116" customFormat="1" ht="18" customHeight="1" x14ac:dyDescent="0.3">
      <c r="A442" s="82">
        <f>A441+1</f>
        <v>339</v>
      </c>
      <c r="B442" s="83" t="s">
        <v>360</v>
      </c>
      <c r="C442" s="142">
        <v>1980</v>
      </c>
      <c r="D442" s="165"/>
      <c r="E442" s="36">
        <v>3886.7</v>
      </c>
      <c r="F442" s="132">
        <v>2929.4</v>
      </c>
      <c r="G442" s="42">
        <f>H442+J442+K442+M442+O442+Q442+S442</f>
        <v>4673008.17</v>
      </c>
      <c r="H442" s="35">
        <v>0</v>
      </c>
      <c r="I442" s="35">
        <f>H442/F442</f>
        <v>0</v>
      </c>
      <c r="J442" s="35">
        <v>0</v>
      </c>
      <c r="K442" s="84">
        <v>4673008.17</v>
      </c>
      <c r="L442" s="35">
        <f>K442/F442</f>
        <v>1595.2099986345327</v>
      </c>
      <c r="M442" s="35">
        <v>0</v>
      </c>
      <c r="N442" s="35"/>
      <c r="O442" s="35">
        <v>0</v>
      </c>
      <c r="P442" s="35"/>
      <c r="Q442" s="35">
        <v>0</v>
      </c>
      <c r="R442" s="35"/>
      <c r="S442" s="35">
        <v>0</v>
      </c>
      <c r="T442" s="35">
        <v>0</v>
      </c>
      <c r="U442" s="35">
        <v>0</v>
      </c>
      <c r="V442" s="42">
        <f>G442-W442</f>
        <v>384896.83999999985</v>
      </c>
      <c r="W442" s="42">
        <v>4288111.33</v>
      </c>
      <c r="X442" s="165">
        <v>2016</v>
      </c>
      <c r="Y442" s="165">
        <v>2016</v>
      </c>
      <c r="Z442" s="156">
        <f t="shared" ref="Z442:Z443" si="125">Z441+1</f>
        <v>178</v>
      </c>
      <c r="AA442" s="156">
        <f t="shared" ref="AA442:AA443" si="126">AA441+1</f>
        <v>3</v>
      </c>
    </row>
    <row r="443" spans="1:28" s="116" customFormat="1" ht="18" customHeight="1" x14ac:dyDescent="0.3">
      <c r="A443" s="82">
        <f>A442+1</f>
        <v>340</v>
      </c>
      <c r="B443" s="83" t="s">
        <v>361</v>
      </c>
      <c r="C443" s="142">
        <v>1974</v>
      </c>
      <c r="D443" s="165"/>
      <c r="E443" s="36">
        <v>2360.6999999999998</v>
      </c>
      <c r="F443" s="132">
        <v>1794.8</v>
      </c>
      <c r="G443" s="42">
        <f>H443+J443+K443+M443+O443+Q443+S443</f>
        <v>1468254.09</v>
      </c>
      <c r="H443" s="85">
        <f>ROUND(818.06*F443,2)</f>
        <v>1468254.09</v>
      </c>
      <c r="I443" s="35">
        <f>H443/F443</f>
        <v>818.06000111433036</v>
      </c>
      <c r="J443" s="35">
        <v>0</v>
      </c>
      <c r="K443" s="35">
        <v>0</v>
      </c>
      <c r="L443" s="35"/>
      <c r="M443" s="35">
        <v>0</v>
      </c>
      <c r="N443" s="35"/>
      <c r="O443" s="35">
        <v>0</v>
      </c>
      <c r="P443" s="35"/>
      <c r="Q443" s="35">
        <v>0</v>
      </c>
      <c r="R443" s="35"/>
      <c r="S443" s="35">
        <v>0</v>
      </c>
      <c r="T443" s="35">
        <v>0</v>
      </c>
      <c r="U443" s="35">
        <v>0</v>
      </c>
      <c r="V443" s="42">
        <f>G443-W443</f>
        <v>120934.17000000016</v>
      </c>
      <c r="W443" s="42">
        <v>1347319.92</v>
      </c>
      <c r="X443" s="165">
        <v>2016</v>
      </c>
      <c r="Y443" s="165">
        <v>2016</v>
      </c>
      <c r="Z443" s="156">
        <f t="shared" si="125"/>
        <v>179</v>
      </c>
      <c r="AA443" s="156">
        <f t="shared" si="126"/>
        <v>4</v>
      </c>
    </row>
    <row r="444" spans="1:28" s="116" customFormat="1" ht="19.5" customHeight="1" x14ac:dyDescent="0.25">
      <c r="A444" s="183" t="s">
        <v>173</v>
      </c>
      <c r="B444" s="183"/>
      <c r="C444" s="147"/>
      <c r="D444" s="64"/>
      <c r="E444" s="28">
        <v>0</v>
      </c>
      <c r="F444" s="28">
        <v>0</v>
      </c>
      <c r="G444" s="19">
        <v>0</v>
      </c>
      <c r="H444" s="28">
        <v>0</v>
      </c>
      <c r="I444" s="28"/>
      <c r="J444" s="28">
        <v>0</v>
      </c>
      <c r="K444" s="28">
        <v>0</v>
      </c>
      <c r="L444" s="28"/>
      <c r="M444" s="28">
        <v>0</v>
      </c>
      <c r="N444" s="28"/>
      <c r="O444" s="28">
        <v>0</v>
      </c>
      <c r="P444" s="28"/>
      <c r="Q444" s="28">
        <v>0</v>
      </c>
      <c r="R444" s="28"/>
      <c r="S444" s="28">
        <v>0</v>
      </c>
      <c r="T444" s="28">
        <v>0</v>
      </c>
      <c r="U444" s="28">
        <v>0</v>
      </c>
      <c r="V444" s="28">
        <v>0</v>
      </c>
      <c r="W444" s="19">
        <v>0</v>
      </c>
      <c r="X444" s="20" t="s">
        <v>368</v>
      </c>
      <c r="Y444" s="20" t="s">
        <v>368</v>
      </c>
      <c r="Z444" s="156"/>
      <c r="AA444" s="156"/>
    </row>
    <row r="445" spans="1:28" s="116" customFormat="1" ht="19.5" customHeight="1" x14ac:dyDescent="0.25">
      <c r="A445" s="183" t="s">
        <v>171</v>
      </c>
      <c r="B445" s="183"/>
      <c r="C445" s="144"/>
      <c r="D445" s="167"/>
      <c r="E445" s="28">
        <v>0</v>
      </c>
      <c r="F445" s="28">
        <v>0</v>
      </c>
      <c r="G445" s="19">
        <v>0</v>
      </c>
      <c r="H445" s="28">
        <v>0</v>
      </c>
      <c r="I445" s="28"/>
      <c r="J445" s="28">
        <v>0</v>
      </c>
      <c r="K445" s="28">
        <v>0</v>
      </c>
      <c r="L445" s="28"/>
      <c r="M445" s="28">
        <v>0</v>
      </c>
      <c r="N445" s="28"/>
      <c r="O445" s="28">
        <v>0</v>
      </c>
      <c r="P445" s="28"/>
      <c r="Q445" s="28">
        <v>0</v>
      </c>
      <c r="R445" s="28"/>
      <c r="S445" s="28">
        <v>0</v>
      </c>
      <c r="T445" s="28">
        <v>0</v>
      </c>
      <c r="U445" s="28">
        <v>0</v>
      </c>
      <c r="V445" s="28">
        <v>0</v>
      </c>
      <c r="W445" s="19">
        <v>0</v>
      </c>
      <c r="X445" s="20" t="s">
        <v>368</v>
      </c>
      <c r="Y445" s="20" t="s">
        <v>368</v>
      </c>
      <c r="Z445" s="156"/>
      <c r="AA445" s="156"/>
    </row>
    <row r="446" spans="1:28" s="116" customFormat="1" ht="19.5" customHeight="1" x14ac:dyDescent="0.25">
      <c r="A446" s="183" t="s">
        <v>172</v>
      </c>
      <c r="B446" s="183"/>
      <c r="C446" s="144"/>
      <c r="D446" s="167"/>
      <c r="E446" s="28">
        <f>SUM(E440:E443)</f>
        <v>13077.3</v>
      </c>
      <c r="F446" s="28">
        <f>SUM(F440:F443)</f>
        <v>10793.199999999999</v>
      </c>
      <c r="G446" s="19">
        <f t="shared" ref="G446:W446" si="127">SUM(G440:G443)</f>
        <v>8322169.54</v>
      </c>
      <c r="H446" s="28">
        <f t="shared" si="127"/>
        <v>3649161.37</v>
      </c>
      <c r="I446" s="28"/>
      <c r="J446" s="28">
        <f t="shared" si="127"/>
        <v>0</v>
      </c>
      <c r="K446" s="28">
        <f t="shared" si="127"/>
        <v>4673008.17</v>
      </c>
      <c r="L446" s="28">
        <f t="shared" si="127"/>
        <v>1595.2099986345327</v>
      </c>
      <c r="M446" s="28">
        <f t="shared" si="127"/>
        <v>0</v>
      </c>
      <c r="N446" s="28">
        <f t="shared" si="127"/>
        <v>0</v>
      </c>
      <c r="O446" s="28">
        <f t="shared" si="127"/>
        <v>0</v>
      </c>
      <c r="P446" s="28">
        <f t="shared" si="127"/>
        <v>0</v>
      </c>
      <c r="Q446" s="28">
        <f t="shared" si="127"/>
        <v>0</v>
      </c>
      <c r="R446" s="28">
        <f t="shared" si="127"/>
        <v>0</v>
      </c>
      <c r="S446" s="28">
        <f t="shared" si="127"/>
        <v>0</v>
      </c>
      <c r="T446" s="28">
        <f t="shared" si="127"/>
        <v>0</v>
      </c>
      <c r="U446" s="28">
        <f t="shared" si="127"/>
        <v>0</v>
      </c>
      <c r="V446" s="28">
        <f>SUM(V440:V445)</f>
        <v>685463.53999999992</v>
      </c>
      <c r="W446" s="19">
        <f t="shared" si="127"/>
        <v>7636706</v>
      </c>
      <c r="X446" s="20" t="s">
        <v>368</v>
      </c>
      <c r="Y446" s="20" t="s">
        <v>368</v>
      </c>
      <c r="Z446" s="156"/>
      <c r="AA446" s="156"/>
      <c r="AB446" s="157">
        <f>T446+V446+W446</f>
        <v>8322169.54</v>
      </c>
    </row>
    <row r="447" spans="1:28" s="116" customFormat="1" ht="17.25" customHeight="1" x14ac:dyDescent="0.25">
      <c r="A447" s="182" t="s">
        <v>247</v>
      </c>
      <c r="B447" s="182"/>
      <c r="C447" s="182"/>
      <c r="D447" s="182"/>
      <c r="E447" s="182"/>
      <c r="F447" s="182"/>
      <c r="G447" s="182"/>
      <c r="H447" s="182"/>
      <c r="I447" s="182"/>
      <c r="J447" s="182"/>
      <c r="K447" s="182"/>
      <c r="L447" s="182"/>
      <c r="M447" s="182"/>
      <c r="N447" s="182"/>
      <c r="O447" s="182"/>
      <c r="P447" s="182"/>
      <c r="Q447" s="182"/>
      <c r="R447" s="182"/>
      <c r="S447" s="182"/>
      <c r="T447" s="182"/>
      <c r="U447" s="182"/>
      <c r="V447" s="182"/>
      <c r="W447" s="182"/>
      <c r="X447" s="165"/>
      <c r="Y447" s="165"/>
      <c r="Z447" s="156"/>
      <c r="AA447" s="156"/>
    </row>
    <row r="448" spans="1:28" s="118" customFormat="1" ht="18" customHeight="1" x14ac:dyDescent="0.25">
      <c r="A448" s="165">
        <f>A443+1</f>
        <v>341</v>
      </c>
      <c r="B448" s="24" t="s">
        <v>248</v>
      </c>
      <c r="C448" s="142" t="s">
        <v>20</v>
      </c>
      <c r="D448" s="165"/>
      <c r="E448" s="45">
        <v>1646.3</v>
      </c>
      <c r="F448" s="45">
        <v>1145.5999999999999</v>
      </c>
      <c r="G448" s="42">
        <f>SUM(H448:S448)</f>
        <v>1818000</v>
      </c>
      <c r="H448" s="35">
        <v>0</v>
      </c>
      <c r="I448" s="35"/>
      <c r="J448" s="35">
        <v>0</v>
      </c>
      <c r="K448" s="35">
        <v>1818000</v>
      </c>
      <c r="L448" s="35"/>
      <c r="M448" s="35">
        <v>0</v>
      </c>
      <c r="N448" s="35"/>
      <c r="O448" s="35">
        <v>0</v>
      </c>
      <c r="P448" s="35"/>
      <c r="Q448" s="35">
        <v>0</v>
      </c>
      <c r="R448" s="35"/>
      <c r="S448" s="35">
        <v>0</v>
      </c>
      <c r="T448" s="35">
        <v>0</v>
      </c>
      <c r="U448" s="35">
        <v>0</v>
      </c>
      <c r="V448" s="35">
        <f>G448-W448</f>
        <v>141563.3899999999</v>
      </c>
      <c r="W448" s="42">
        <v>1676436.61</v>
      </c>
      <c r="X448" s="165">
        <v>2015</v>
      </c>
      <c r="Y448" s="165">
        <v>2015</v>
      </c>
      <c r="Z448" s="155"/>
      <c r="AA448" s="156"/>
    </row>
    <row r="449" spans="1:28" s="118" customFormat="1" ht="18" customHeight="1" x14ac:dyDescent="0.25">
      <c r="A449" s="165">
        <f t="shared" ref="A449:A453" si="128">A448+1</f>
        <v>342</v>
      </c>
      <c r="B449" s="24" t="s">
        <v>249</v>
      </c>
      <c r="C449" s="142" t="s">
        <v>211</v>
      </c>
      <c r="D449" s="165"/>
      <c r="E449" s="45">
        <v>4089.2</v>
      </c>
      <c r="F449" s="45">
        <v>3546.2</v>
      </c>
      <c r="G449" s="42">
        <f>SUM(H449:S449)</f>
        <v>4564455</v>
      </c>
      <c r="H449" s="35">
        <v>0</v>
      </c>
      <c r="I449" s="35"/>
      <c r="J449" s="35">
        <v>0</v>
      </c>
      <c r="K449" s="35">
        <v>4564455</v>
      </c>
      <c r="L449" s="35"/>
      <c r="M449" s="35">
        <v>0</v>
      </c>
      <c r="N449" s="35"/>
      <c r="O449" s="35">
        <v>0</v>
      </c>
      <c r="P449" s="35"/>
      <c r="Q449" s="35">
        <v>0</v>
      </c>
      <c r="R449" s="35"/>
      <c r="S449" s="35">
        <v>0</v>
      </c>
      <c r="T449" s="35">
        <v>0</v>
      </c>
      <c r="U449" s="35">
        <v>0</v>
      </c>
      <c r="V449" s="35">
        <f>G449-W449</f>
        <v>700187.39999999991</v>
      </c>
      <c r="W449" s="42">
        <v>3864267.6</v>
      </c>
      <c r="X449" s="165">
        <v>2015</v>
      </c>
      <c r="Y449" s="165">
        <v>2015</v>
      </c>
      <c r="Z449" s="155"/>
      <c r="AA449" s="156"/>
    </row>
    <row r="450" spans="1:28" s="118" customFormat="1" ht="18" customHeight="1" x14ac:dyDescent="0.25">
      <c r="A450" s="165">
        <f t="shared" si="128"/>
        <v>343</v>
      </c>
      <c r="B450" s="24" t="s">
        <v>250</v>
      </c>
      <c r="C450" s="142" t="s">
        <v>251</v>
      </c>
      <c r="D450" s="165"/>
      <c r="E450" s="45">
        <v>3922.4</v>
      </c>
      <c r="F450" s="45">
        <v>3408.9</v>
      </c>
      <c r="G450" s="42">
        <f>SUM(H450:S450)</f>
        <v>4369600.38</v>
      </c>
      <c r="H450" s="35">
        <v>0</v>
      </c>
      <c r="I450" s="35"/>
      <c r="J450" s="35">
        <v>0</v>
      </c>
      <c r="K450" s="35">
        <v>4369600.38</v>
      </c>
      <c r="L450" s="35"/>
      <c r="M450" s="35">
        <v>0</v>
      </c>
      <c r="N450" s="35"/>
      <c r="O450" s="35">
        <v>0</v>
      </c>
      <c r="P450" s="35"/>
      <c r="Q450" s="35">
        <v>0</v>
      </c>
      <c r="R450" s="35"/>
      <c r="S450" s="35">
        <v>0</v>
      </c>
      <c r="T450" s="35">
        <v>0</v>
      </c>
      <c r="U450" s="35">
        <v>0</v>
      </c>
      <c r="V450" s="35">
        <f>G450-W450</f>
        <v>670296.69999999972</v>
      </c>
      <c r="W450" s="42">
        <v>3699303.68</v>
      </c>
      <c r="X450" s="165">
        <v>2015</v>
      </c>
      <c r="Y450" s="165">
        <v>2015</v>
      </c>
      <c r="Z450" s="155"/>
      <c r="AA450" s="155"/>
    </row>
    <row r="451" spans="1:28" s="116" customFormat="1" ht="18" customHeight="1" x14ac:dyDescent="0.25">
      <c r="A451" s="165">
        <f t="shared" si="128"/>
        <v>344</v>
      </c>
      <c r="B451" s="86" t="s">
        <v>363</v>
      </c>
      <c r="C451" s="148">
        <v>1964</v>
      </c>
      <c r="D451" s="87"/>
      <c r="E451" s="88">
        <v>2789.3</v>
      </c>
      <c r="F451" s="88">
        <v>2597.8000000000002</v>
      </c>
      <c r="G451" s="42">
        <f>H451+J451+K451+M451+O451+Q451+S451</f>
        <v>4144036.54</v>
      </c>
      <c r="H451" s="35">
        <v>0</v>
      </c>
      <c r="I451" s="35"/>
      <c r="J451" s="35">
        <v>0</v>
      </c>
      <c r="K451" s="89">
        <v>4144036.54</v>
      </c>
      <c r="L451" s="35">
        <f>K451/F451</f>
        <v>1595.2100007698821</v>
      </c>
      <c r="M451" s="35">
        <v>0</v>
      </c>
      <c r="N451" s="35"/>
      <c r="O451" s="35">
        <v>0</v>
      </c>
      <c r="P451" s="35"/>
      <c r="Q451" s="35">
        <v>0</v>
      </c>
      <c r="R451" s="35"/>
      <c r="S451" s="35">
        <v>0</v>
      </c>
      <c r="T451" s="35">
        <v>0</v>
      </c>
      <c r="U451" s="35">
        <v>0</v>
      </c>
      <c r="V451" s="35">
        <v>0</v>
      </c>
      <c r="W451" s="90">
        <f>G451</f>
        <v>4144036.54</v>
      </c>
      <c r="X451" s="165">
        <v>2016</v>
      </c>
      <c r="Y451" s="165">
        <v>2016</v>
      </c>
      <c r="Z451" s="156">
        <f>Z443+1</f>
        <v>180</v>
      </c>
      <c r="AA451" s="156">
        <v>1</v>
      </c>
    </row>
    <row r="452" spans="1:28" s="116" customFormat="1" ht="18" customHeight="1" x14ac:dyDescent="0.25">
      <c r="A452" s="165">
        <f t="shared" si="128"/>
        <v>345</v>
      </c>
      <c r="B452" s="86" t="s">
        <v>364</v>
      </c>
      <c r="C452" s="148">
        <v>1974</v>
      </c>
      <c r="D452" s="87"/>
      <c r="E452" s="88">
        <v>2245.5</v>
      </c>
      <c r="F452" s="88">
        <v>2097.1999999999998</v>
      </c>
      <c r="G452" s="42">
        <f>H452+J452+K452+M452+O452+Q452+S452</f>
        <v>1917973.29</v>
      </c>
      <c r="H452" s="35">
        <v>0</v>
      </c>
      <c r="I452" s="35"/>
      <c r="J452" s="35">
        <v>0</v>
      </c>
      <c r="K452" s="89">
        <v>1917973.29</v>
      </c>
      <c r="L452" s="35">
        <f>K452/F452</f>
        <v>914.54000095365257</v>
      </c>
      <c r="M452" s="35">
        <v>0</v>
      </c>
      <c r="N452" s="35"/>
      <c r="O452" s="35">
        <v>0</v>
      </c>
      <c r="P452" s="35"/>
      <c r="Q452" s="35">
        <v>0</v>
      </c>
      <c r="R452" s="35"/>
      <c r="S452" s="35">
        <v>0</v>
      </c>
      <c r="T452" s="35">
        <v>0</v>
      </c>
      <c r="U452" s="35">
        <v>0</v>
      </c>
      <c r="V452" s="35">
        <v>0</v>
      </c>
      <c r="W452" s="90">
        <f>G452</f>
        <v>1917973.29</v>
      </c>
      <c r="X452" s="165">
        <v>2016</v>
      </c>
      <c r="Y452" s="165">
        <v>2016</v>
      </c>
      <c r="Z452" s="156">
        <f>Z451+1</f>
        <v>181</v>
      </c>
      <c r="AA452" s="156">
        <f>AA451+1</f>
        <v>2</v>
      </c>
    </row>
    <row r="453" spans="1:28" s="118" customFormat="1" ht="18" customHeight="1" x14ac:dyDescent="0.25">
      <c r="A453" s="165">
        <f t="shared" si="128"/>
        <v>346</v>
      </c>
      <c r="B453" s="86" t="s">
        <v>362</v>
      </c>
      <c r="C453" s="148">
        <v>1988</v>
      </c>
      <c r="D453" s="87"/>
      <c r="E453" s="88">
        <v>3016.4</v>
      </c>
      <c r="F453" s="88">
        <v>2659.4</v>
      </c>
      <c r="G453" s="42">
        <f>H453+J453+K453+M453+O453+Q453+S453</f>
        <v>4021580.94</v>
      </c>
      <c r="H453" s="35">
        <v>0</v>
      </c>
      <c r="I453" s="35"/>
      <c r="J453" s="89">
        <v>4021580.94</v>
      </c>
      <c r="K453" s="35">
        <v>0</v>
      </c>
      <c r="L453" s="35">
        <f>K453/F453</f>
        <v>0</v>
      </c>
      <c r="M453" s="35">
        <v>0</v>
      </c>
      <c r="N453" s="35"/>
      <c r="O453" s="35">
        <v>0</v>
      </c>
      <c r="P453" s="35"/>
      <c r="Q453" s="35">
        <v>0</v>
      </c>
      <c r="R453" s="35"/>
      <c r="S453" s="35">
        <v>0</v>
      </c>
      <c r="T453" s="35">
        <v>0</v>
      </c>
      <c r="U453" s="35">
        <v>0</v>
      </c>
      <c r="V453" s="35">
        <v>0</v>
      </c>
      <c r="W453" s="90">
        <f>G453</f>
        <v>4021580.94</v>
      </c>
      <c r="X453" s="165">
        <v>2016</v>
      </c>
      <c r="Y453" s="165">
        <v>2016</v>
      </c>
      <c r="Z453" s="156">
        <f t="shared" ref="Z453:AA453" si="129">Z452+1</f>
        <v>182</v>
      </c>
      <c r="AA453" s="156">
        <f t="shared" si="129"/>
        <v>3</v>
      </c>
    </row>
    <row r="454" spans="1:28" s="116" customFormat="1" ht="19.5" customHeight="1" x14ac:dyDescent="0.25">
      <c r="A454" s="183" t="s">
        <v>173</v>
      </c>
      <c r="B454" s="183"/>
      <c r="C454" s="147"/>
      <c r="D454" s="64"/>
      <c r="E454" s="28">
        <v>0</v>
      </c>
      <c r="F454" s="28">
        <v>0</v>
      </c>
      <c r="G454" s="19">
        <v>0</v>
      </c>
      <c r="H454" s="28">
        <v>0</v>
      </c>
      <c r="I454" s="28"/>
      <c r="J454" s="28">
        <v>0</v>
      </c>
      <c r="K454" s="28">
        <v>0</v>
      </c>
      <c r="L454" s="28"/>
      <c r="M454" s="28">
        <v>0</v>
      </c>
      <c r="N454" s="28"/>
      <c r="O454" s="28">
        <v>0</v>
      </c>
      <c r="P454" s="28"/>
      <c r="Q454" s="28">
        <v>0</v>
      </c>
      <c r="R454" s="28"/>
      <c r="S454" s="28">
        <v>0</v>
      </c>
      <c r="T454" s="28">
        <v>0</v>
      </c>
      <c r="U454" s="28">
        <v>0</v>
      </c>
      <c r="V454" s="28">
        <v>0</v>
      </c>
      <c r="W454" s="19">
        <v>0</v>
      </c>
      <c r="X454" s="20" t="s">
        <v>368</v>
      </c>
      <c r="Y454" s="20" t="s">
        <v>368</v>
      </c>
      <c r="Z454" s="156"/>
      <c r="AA454" s="156"/>
    </row>
    <row r="455" spans="1:28" s="116" customFormat="1" ht="19.5" customHeight="1" x14ac:dyDescent="0.25">
      <c r="A455" s="183" t="s">
        <v>171</v>
      </c>
      <c r="B455" s="183"/>
      <c r="C455" s="144"/>
      <c r="D455" s="167"/>
      <c r="E455" s="29">
        <f>SUM(E448:E450)</f>
        <v>9657.9</v>
      </c>
      <c r="F455" s="29">
        <f>SUM(F448:F449)</f>
        <v>4691.7999999999993</v>
      </c>
      <c r="G455" s="19">
        <f t="shared" ref="G455:W455" si="130">SUM(G448:G450)</f>
        <v>10752055.379999999</v>
      </c>
      <c r="H455" s="28">
        <f t="shared" si="130"/>
        <v>0</v>
      </c>
      <c r="I455" s="28"/>
      <c r="J455" s="28">
        <f t="shared" si="130"/>
        <v>0</v>
      </c>
      <c r="K455" s="28">
        <f t="shared" si="130"/>
        <v>10752055.379999999</v>
      </c>
      <c r="L455" s="28"/>
      <c r="M455" s="28">
        <f t="shared" si="130"/>
        <v>0</v>
      </c>
      <c r="N455" s="28"/>
      <c r="O455" s="28">
        <f t="shared" si="130"/>
        <v>0</v>
      </c>
      <c r="P455" s="28"/>
      <c r="Q455" s="28">
        <f t="shared" si="130"/>
        <v>0</v>
      </c>
      <c r="R455" s="28"/>
      <c r="S455" s="28">
        <f t="shared" si="130"/>
        <v>0</v>
      </c>
      <c r="T455" s="28">
        <f t="shared" si="130"/>
        <v>0</v>
      </c>
      <c r="U455" s="28">
        <f t="shared" si="130"/>
        <v>0</v>
      </c>
      <c r="V455" s="28">
        <f t="shared" si="130"/>
        <v>1512047.4899999995</v>
      </c>
      <c r="W455" s="19">
        <f t="shared" si="130"/>
        <v>9240007.8900000006</v>
      </c>
      <c r="X455" s="20" t="s">
        <v>368</v>
      </c>
      <c r="Y455" s="20" t="s">
        <v>368</v>
      </c>
      <c r="Z455" s="156"/>
      <c r="AA455" s="156"/>
    </row>
    <row r="456" spans="1:28" s="116" customFormat="1" ht="19.5" customHeight="1" x14ac:dyDescent="0.25">
      <c r="A456" s="183" t="s">
        <v>172</v>
      </c>
      <c r="B456" s="183"/>
      <c r="C456" s="144"/>
      <c r="D456" s="167"/>
      <c r="E456" s="29">
        <f>SUM(E451:E453)</f>
        <v>8051.2000000000007</v>
      </c>
      <c r="F456" s="29">
        <f>SUM(F451:F453)</f>
        <v>7354.4</v>
      </c>
      <c r="G456" s="19">
        <f t="shared" ref="G456:W456" si="131">SUM(G451:G453)</f>
        <v>10083590.77</v>
      </c>
      <c r="H456" s="28">
        <f t="shared" si="131"/>
        <v>0</v>
      </c>
      <c r="I456" s="28"/>
      <c r="J456" s="28">
        <f t="shared" si="131"/>
        <v>4021580.94</v>
      </c>
      <c r="K456" s="28">
        <f t="shared" si="131"/>
        <v>6062009.8300000001</v>
      </c>
      <c r="L456" s="28"/>
      <c r="M456" s="28">
        <f t="shared" si="131"/>
        <v>0</v>
      </c>
      <c r="N456" s="28"/>
      <c r="O456" s="28">
        <f t="shared" si="131"/>
        <v>0</v>
      </c>
      <c r="P456" s="28"/>
      <c r="Q456" s="28">
        <f t="shared" si="131"/>
        <v>0</v>
      </c>
      <c r="R456" s="28"/>
      <c r="S456" s="28">
        <f t="shared" si="131"/>
        <v>0</v>
      </c>
      <c r="T456" s="28">
        <f t="shared" si="131"/>
        <v>0</v>
      </c>
      <c r="U456" s="28">
        <f t="shared" si="131"/>
        <v>0</v>
      </c>
      <c r="V456" s="28">
        <f t="shared" si="131"/>
        <v>0</v>
      </c>
      <c r="W456" s="19">
        <f t="shared" si="131"/>
        <v>10083590.77</v>
      </c>
      <c r="X456" s="20" t="s">
        <v>368</v>
      </c>
      <c r="Y456" s="20" t="s">
        <v>368</v>
      </c>
      <c r="Z456" s="156"/>
      <c r="AA456" s="156"/>
      <c r="AB456" s="157">
        <f>T456+V456+W456</f>
        <v>10083590.77</v>
      </c>
    </row>
    <row r="457" spans="1:28" s="116" customFormat="1" ht="17.25" customHeight="1" x14ac:dyDescent="0.25">
      <c r="A457" s="182" t="s">
        <v>97</v>
      </c>
      <c r="B457" s="182"/>
      <c r="C457" s="182"/>
      <c r="D457" s="182"/>
      <c r="E457" s="182"/>
      <c r="F457" s="182"/>
      <c r="G457" s="182"/>
      <c r="H457" s="182"/>
      <c r="I457" s="182"/>
      <c r="J457" s="182"/>
      <c r="K457" s="182"/>
      <c r="L457" s="182"/>
      <c r="M457" s="182"/>
      <c r="N457" s="182"/>
      <c r="O457" s="182"/>
      <c r="P457" s="182"/>
      <c r="Q457" s="182"/>
      <c r="R457" s="182"/>
      <c r="S457" s="182"/>
      <c r="T457" s="182"/>
      <c r="U457" s="182"/>
      <c r="V457" s="182"/>
      <c r="W457" s="182"/>
      <c r="X457" s="165"/>
      <c r="Y457" s="165"/>
      <c r="Z457" s="156"/>
      <c r="AA457" s="156"/>
    </row>
    <row r="458" spans="1:28" s="116" customFormat="1" ht="18" customHeight="1" x14ac:dyDescent="0.25">
      <c r="A458" s="165">
        <f>A453+1</f>
        <v>347</v>
      </c>
      <c r="B458" s="24" t="s">
        <v>485</v>
      </c>
      <c r="C458" s="142">
        <v>1987</v>
      </c>
      <c r="D458" s="167"/>
      <c r="E458" s="66">
        <v>1411.2</v>
      </c>
      <c r="F458" s="45">
        <v>879.8</v>
      </c>
      <c r="G458" s="72">
        <f>SUM(H458:S458)</f>
        <v>1392400</v>
      </c>
      <c r="H458" s="35">
        <v>0</v>
      </c>
      <c r="I458" s="35"/>
      <c r="J458" s="35">
        <v>0</v>
      </c>
      <c r="K458" s="35">
        <f>1561548.6-169148.6</f>
        <v>1392400</v>
      </c>
      <c r="L458" s="35"/>
      <c r="M458" s="35">
        <v>0</v>
      </c>
      <c r="N458" s="35"/>
      <c r="O458" s="35"/>
      <c r="P458" s="35"/>
      <c r="Q458" s="35">
        <v>0</v>
      </c>
      <c r="R458" s="35"/>
      <c r="S458" s="35">
        <v>0</v>
      </c>
      <c r="T458" s="35">
        <f>698012-75609.42</f>
        <v>622402.57999999996</v>
      </c>
      <c r="U458" s="35"/>
      <c r="V458" s="35">
        <f>G458-T458</f>
        <v>769997.42</v>
      </c>
      <c r="W458" s="42">
        <v>0</v>
      </c>
      <c r="X458" s="165">
        <v>2014</v>
      </c>
      <c r="Y458" s="165">
        <v>2015</v>
      </c>
      <c r="Z458" s="156"/>
      <c r="AA458" s="156"/>
    </row>
    <row r="459" spans="1:28" s="116" customFormat="1" ht="18" customHeight="1" x14ac:dyDescent="0.25">
      <c r="A459" s="165">
        <f>A458+1</f>
        <v>348</v>
      </c>
      <c r="B459" s="24" t="s">
        <v>511</v>
      </c>
      <c r="C459" s="142">
        <v>1966</v>
      </c>
      <c r="D459" s="64"/>
      <c r="E459" s="66">
        <v>422.9</v>
      </c>
      <c r="F459" s="45">
        <v>384.1</v>
      </c>
      <c r="G459" s="72">
        <f>SUM(H459:S459)</f>
        <v>467955</v>
      </c>
      <c r="H459" s="35">
        <v>0</v>
      </c>
      <c r="I459" s="35"/>
      <c r="J459" s="35">
        <v>0</v>
      </c>
      <c r="K459" s="74">
        <v>467955</v>
      </c>
      <c r="L459" s="74"/>
      <c r="M459" s="35">
        <v>0</v>
      </c>
      <c r="N459" s="35"/>
      <c r="O459" s="35">
        <v>0</v>
      </c>
      <c r="P459" s="35"/>
      <c r="Q459" s="35">
        <v>0</v>
      </c>
      <c r="R459" s="35"/>
      <c r="S459" s="35">
        <v>0</v>
      </c>
      <c r="T459" s="35">
        <f>209176-0.3</f>
        <v>209175.7</v>
      </c>
      <c r="U459" s="35">
        <v>0</v>
      </c>
      <c r="V459" s="35">
        <f>G459-T459</f>
        <v>258779.3</v>
      </c>
      <c r="W459" s="42">
        <v>0</v>
      </c>
      <c r="X459" s="165">
        <v>2014</v>
      </c>
      <c r="Y459" s="165">
        <v>2015</v>
      </c>
      <c r="Z459" s="156"/>
      <c r="AA459" s="156"/>
    </row>
    <row r="460" spans="1:28" s="116" customFormat="1" ht="18" customHeight="1" x14ac:dyDescent="0.25">
      <c r="A460" s="165">
        <f>A459+1</f>
        <v>349</v>
      </c>
      <c r="B460" s="24" t="s">
        <v>512</v>
      </c>
      <c r="C460" s="142" t="s">
        <v>252</v>
      </c>
      <c r="D460" s="165"/>
      <c r="E460" s="121">
        <v>1543.9</v>
      </c>
      <c r="F460" s="66">
        <v>1229</v>
      </c>
      <c r="G460" s="72">
        <f>SUM(H460:S460)</f>
        <v>1622960</v>
      </c>
      <c r="H460" s="35">
        <v>0</v>
      </c>
      <c r="I460" s="35"/>
      <c r="J460" s="35">
        <v>0</v>
      </c>
      <c r="K460" s="35">
        <f>T460+V460+W460</f>
        <v>1622960</v>
      </c>
      <c r="L460" s="35"/>
      <c r="M460" s="35">
        <v>0</v>
      </c>
      <c r="N460" s="35"/>
      <c r="O460" s="35">
        <v>0</v>
      </c>
      <c r="P460" s="35"/>
      <c r="Q460" s="35">
        <v>0</v>
      </c>
      <c r="R460" s="35"/>
      <c r="S460" s="35">
        <v>0</v>
      </c>
      <c r="T460" s="35">
        <v>650882.11</v>
      </c>
      <c r="U460" s="35">
        <v>0</v>
      </c>
      <c r="V460" s="35">
        <v>809805</v>
      </c>
      <c r="W460" s="42">
        <v>162272.89000000001</v>
      </c>
      <c r="X460" s="165">
        <v>2015</v>
      </c>
      <c r="Y460" s="165">
        <v>2015</v>
      </c>
      <c r="Z460" s="156"/>
      <c r="AA460" s="156"/>
      <c r="AB460" s="157">
        <f>T460+T77+T76+T42+T43</f>
        <v>7685201.2400000002</v>
      </c>
    </row>
    <row r="461" spans="1:28" s="116" customFormat="1" ht="18" customHeight="1" x14ac:dyDescent="0.25">
      <c r="A461" s="64">
        <f>A460+1</f>
        <v>350</v>
      </c>
      <c r="B461" s="69" t="s">
        <v>513</v>
      </c>
      <c r="C461" s="147">
        <v>1988</v>
      </c>
      <c r="D461" s="64"/>
      <c r="E461" s="66">
        <v>1937.2</v>
      </c>
      <c r="F461" s="66">
        <v>1803.6</v>
      </c>
      <c r="G461" s="42">
        <f>H461+J461+K461+M461+O461+Q461+S461</f>
        <v>1341030.71</v>
      </c>
      <c r="H461" s="35">
        <v>0</v>
      </c>
      <c r="I461" s="35"/>
      <c r="J461" s="35">
        <v>0</v>
      </c>
      <c r="K461" s="91">
        <v>1341030.71</v>
      </c>
      <c r="L461" s="35">
        <f>K461/F461</f>
        <v>743.53000110889332</v>
      </c>
      <c r="M461" s="35">
        <v>0</v>
      </c>
      <c r="N461" s="35"/>
      <c r="O461" s="35">
        <v>0</v>
      </c>
      <c r="P461" s="35"/>
      <c r="Q461" s="35">
        <v>0</v>
      </c>
      <c r="R461" s="35"/>
      <c r="S461" s="35">
        <v>0</v>
      </c>
      <c r="T461" s="35">
        <v>0</v>
      </c>
      <c r="U461" s="35">
        <v>0</v>
      </c>
      <c r="V461" s="35">
        <v>0</v>
      </c>
      <c r="W461" s="42">
        <f>G461</f>
        <v>1341030.71</v>
      </c>
      <c r="X461" s="165">
        <v>2016</v>
      </c>
      <c r="Y461" s="165">
        <v>2016</v>
      </c>
      <c r="Z461" s="156">
        <f>Z453+1</f>
        <v>183</v>
      </c>
      <c r="AA461" s="156"/>
    </row>
    <row r="462" spans="1:28" s="116" customFormat="1" ht="19.5" customHeight="1" x14ac:dyDescent="0.25">
      <c r="A462" s="183" t="s">
        <v>173</v>
      </c>
      <c r="B462" s="183"/>
      <c r="C462" s="147"/>
      <c r="D462" s="64"/>
      <c r="E462" s="28">
        <v>0</v>
      </c>
      <c r="F462" s="28">
        <v>0</v>
      </c>
      <c r="G462" s="19">
        <v>0</v>
      </c>
      <c r="H462" s="28">
        <v>0</v>
      </c>
      <c r="I462" s="28"/>
      <c r="J462" s="28">
        <v>0</v>
      </c>
      <c r="K462" s="28">
        <v>0</v>
      </c>
      <c r="L462" s="28"/>
      <c r="M462" s="28">
        <v>0</v>
      </c>
      <c r="N462" s="28"/>
      <c r="O462" s="28">
        <v>0</v>
      </c>
      <c r="P462" s="28"/>
      <c r="Q462" s="28">
        <v>0</v>
      </c>
      <c r="R462" s="28"/>
      <c r="S462" s="28">
        <v>0</v>
      </c>
      <c r="T462" s="28">
        <v>0</v>
      </c>
      <c r="U462" s="28">
        <v>0</v>
      </c>
      <c r="V462" s="28">
        <v>0</v>
      </c>
      <c r="W462" s="19">
        <v>0</v>
      </c>
      <c r="X462" s="20" t="s">
        <v>368</v>
      </c>
      <c r="Y462" s="20" t="s">
        <v>368</v>
      </c>
      <c r="Z462" s="156"/>
      <c r="AA462" s="156"/>
    </row>
    <row r="463" spans="1:28" s="116" customFormat="1" ht="19.5" customHeight="1" x14ac:dyDescent="0.25">
      <c r="A463" s="183" t="s">
        <v>171</v>
      </c>
      <c r="B463" s="183"/>
      <c r="C463" s="144"/>
      <c r="D463" s="167"/>
      <c r="E463" s="133">
        <f>SUM(E458:E460)</f>
        <v>3378</v>
      </c>
      <c r="F463" s="133">
        <f>SUM(F458:F460)</f>
        <v>2492.9</v>
      </c>
      <c r="G463" s="19">
        <f t="shared" ref="G463:W463" si="132">SUM(G458:G460)</f>
        <v>3483315</v>
      </c>
      <c r="H463" s="28">
        <f t="shared" si="132"/>
        <v>0</v>
      </c>
      <c r="I463" s="28"/>
      <c r="J463" s="28">
        <f t="shared" si="132"/>
        <v>0</v>
      </c>
      <c r="K463" s="28">
        <f t="shared" si="132"/>
        <v>3483315</v>
      </c>
      <c r="L463" s="28"/>
      <c r="M463" s="28">
        <f t="shared" si="132"/>
        <v>0</v>
      </c>
      <c r="N463" s="28"/>
      <c r="O463" s="28">
        <f t="shared" si="132"/>
        <v>0</v>
      </c>
      <c r="P463" s="28"/>
      <c r="Q463" s="28">
        <f t="shared" si="132"/>
        <v>0</v>
      </c>
      <c r="R463" s="28"/>
      <c r="S463" s="28">
        <f t="shared" si="132"/>
        <v>0</v>
      </c>
      <c r="T463" s="28">
        <f t="shared" si="132"/>
        <v>1482460.3900000001</v>
      </c>
      <c r="U463" s="28">
        <f t="shared" si="132"/>
        <v>0</v>
      </c>
      <c r="V463" s="28">
        <f t="shared" si="132"/>
        <v>1838581.72</v>
      </c>
      <c r="W463" s="19">
        <f t="shared" si="132"/>
        <v>162272.89000000001</v>
      </c>
      <c r="X463" s="20" t="s">
        <v>368</v>
      </c>
      <c r="Y463" s="20" t="s">
        <v>368</v>
      </c>
      <c r="Z463" s="156"/>
      <c r="AA463" s="156"/>
    </row>
    <row r="464" spans="1:28" s="116" customFormat="1" ht="19.5" customHeight="1" x14ac:dyDescent="0.25">
      <c r="A464" s="183" t="s">
        <v>172</v>
      </c>
      <c r="B464" s="183"/>
      <c r="C464" s="144"/>
      <c r="D464" s="167"/>
      <c r="E464" s="133">
        <f t="shared" ref="E464:W464" si="133">SUM(E461:E461)</f>
        <v>1937.2</v>
      </c>
      <c r="F464" s="133">
        <f t="shared" si="133"/>
        <v>1803.6</v>
      </c>
      <c r="G464" s="134">
        <f t="shared" si="133"/>
        <v>1341030.71</v>
      </c>
      <c r="H464" s="28">
        <f t="shared" si="133"/>
        <v>0</v>
      </c>
      <c r="I464" s="28">
        <f t="shared" si="133"/>
        <v>0</v>
      </c>
      <c r="J464" s="28">
        <f t="shared" si="133"/>
        <v>0</v>
      </c>
      <c r="K464" s="134">
        <f t="shared" si="133"/>
        <v>1341030.71</v>
      </c>
      <c r="L464" s="134">
        <f t="shared" si="133"/>
        <v>743.53000110889332</v>
      </c>
      <c r="M464" s="28">
        <f t="shared" si="133"/>
        <v>0</v>
      </c>
      <c r="N464" s="28">
        <f t="shared" si="133"/>
        <v>0</v>
      </c>
      <c r="O464" s="28">
        <f t="shared" si="133"/>
        <v>0</v>
      </c>
      <c r="P464" s="28">
        <f t="shared" si="133"/>
        <v>0</v>
      </c>
      <c r="Q464" s="28">
        <f t="shared" si="133"/>
        <v>0</v>
      </c>
      <c r="R464" s="28">
        <f t="shared" si="133"/>
        <v>0</v>
      </c>
      <c r="S464" s="28">
        <f t="shared" si="133"/>
        <v>0</v>
      </c>
      <c r="T464" s="28">
        <f t="shared" si="133"/>
        <v>0</v>
      </c>
      <c r="U464" s="28">
        <f t="shared" si="133"/>
        <v>0</v>
      </c>
      <c r="V464" s="28">
        <f t="shared" si="133"/>
        <v>0</v>
      </c>
      <c r="W464" s="134">
        <f t="shared" si="133"/>
        <v>1341030.71</v>
      </c>
      <c r="X464" s="20" t="s">
        <v>368</v>
      </c>
      <c r="Y464" s="20" t="s">
        <v>368</v>
      </c>
      <c r="Z464" s="156"/>
      <c r="AA464" s="156"/>
      <c r="AB464" s="157">
        <f>T464+V464+W464</f>
        <v>1341030.71</v>
      </c>
    </row>
    <row r="465" spans="1:28" s="116" customFormat="1" ht="17.25" customHeight="1" x14ac:dyDescent="0.25">
      <c r="A465" s="182" t="s">
        <v>253</v>
      </c>
      <c r="B465" s="182"/>
      <c r="C465" s="182"/>
      <c r="D465" s="182"/>
      <c r="E465" s="182"/>
      <c r="F465" s="182"/>
      <c r="G465" s="182"/>
      <c r="H465" s="182"/>
      <c r="I465" s="182"/>
      <c r="J465" s="182"/>
      <c r="K465" s="182"/>
      <c r="L465" s="182"/>
      <c r="M465" s="182"/>
      <c r="N465" s="182"/>
      <c r="O465" s="182"/>
      <c r="P465" s="182"/>
      <c r="Q465" s="182"/>
      <c r="R465" s="182"/>
      <c r="S465" s="182"/>
      <c r="T465" s="182"/>
      <c r="U465" s="182"/>
      <c r="V465" s="182"/>
      <c r="W465" s="182"/>
      <c r="X465" s="165"/>
      <c r="Y465" s="165"/>
      <c r="Z465" s="156"/>
      <c r="AA465" s="156"/>
    </row>
    <row r="466" spans="1:28" s="116" customFormat="1" ht="18" customHeight="1" x14ac:dyDescent="0.25">
      <c r="A466" s="165">
        <f>A461+1</f>
        <v>351</v>
      </c>
      <c r="B466" s="24" t="s">
        <v>254</v>
      </c>
      <c r="C466" s="142" t="s">
        <v>252</v>
      </c>
      <c r="D466" s="165"/>
      <c r="E466" s="45">
        <v>5273.8</v>
      </c>
      <c r="F466" s="45">
        <v>4873</v>
      </c>
      <c r="G466" s="42">
        <f>H466+J466+K466+M466+O466+Q466+S466</f>
        <v>2779023.17</v>
      </c>
      <c r="H466" s="35">
        <f>ROUND(321.45*4873,2)</f>
        <v>1566425.85</v>
      </c>
      <c r="I466" s="35">
        <f>H466/F466</f>
        <v>321.45000000000005</v>
      </c>
      <c r="J466" s="35">
        <v>0</v>
      </c>
      <c r="K466" s="35">
        <v>0</v>
      </c>
      <c r="L466" s="35"/>
      <c r="M466" s="35">
        <f>ROUND(248.84*4873,2)</f>
        <v>1212597.32</v>
      </c>
      <c r="N466" s="35">
        <f>M466/F466</f>
        <v>248.84</v>
      </c>
      <c r="O466" s="35">
        <v>0</v>
      </c>
      <c r="P466" s="35"/>
      <c r="Q466" s="35">
        <v>0</v>
      </c>
      <c r="R466" s="35"/>
      <c r="S466" s="35">
        <v>0</v>
      </c>
      <c r="T466" s="35">
        <v>0</v>
      </c>
      <c r="U466" s="35">
        <v>0</v>
      </c>
      <c r="V466" s="35">
        <v>0</v>
      </c>
      <c r="W466" s="42">
        <f>G466</f>
        <v>2779023.17</v>
      </c>
      <c r="X466" s="165">
        <v>2015</v>
      </c>
      <c r="Y466" s="165">
        <v>2016</v>
      </c>
      <c r="Z466" s="156">
        <f>Z461+1</f>
        <v>184</v>
      </c>
      <c r="AA466" s="156"/>
    </row>
    <row r="467" spans="1:28" s="116" customFormat="1" ht="18" customHeight="1" x14ac:dyDescent="0.25">
      <c r="A467" s="165">
        <f>A466+1</f>
        <v>352</v>
      </c>
      <c r="B467" s="24" t="s">
        <v>255</v>
      </c>
      <c r="C467" s="142" t="s">
        <v>252</v>
      </c>
      <c r="D467" s="165"/>
      <c r="E467" s="45">
        <v>4906.8</v>
      </c>
      <c r="F467" s="45">
        <v>4505.2</v>
      </c>
      <c r="G467" s="42">
        <f>H467+J467+K467+M467+O467+Q467+S467</f>
        <v>2569270.5099999998</v>
      </c>
      <c r="H467" s="35">
        <f>ROUND(321.45*4505.2,2)</f>
        <v>1448196.54</v>
      </c>
      <c r="I467" s="35">
        <f>H467/F467</f>
        <v>321.45000000000005</v>
      </c>
      <c r="J467" s="35">
        <v>0</v>
      </c>
      <c r="K467" s="35">
        <v>0</v>
      </c>
      <c r="L467" s="35"/>
      <c r="M467" s="35">
        <f>ROUND(248.84*4505.2,2)</f>
        <v>1121073.97</v>
      </c>
      <c r="N467" s="35">
        <f>M467/F467</f>
        <v>248.84000044393147</v>
      </c>
      <c r="O467" s="35">
        <v>0</v>
      </c>
      <c r="P467" s="35"/>
      <c r="Q467" s="35">
        <v>0</v>
      </c>
      <c r="R467" s="35"/>
      <c r="S467" s="35">
        <v>0</v>
      </c>
      <c r="T467" s="35">
        <v>0</v>
      </c>
      <c r="U467" s="35">
        <v>0</v>
      </c>
      <c r="V467" s="35">
        <v>0</v>
      </c>
      <c r="W467" s="42">
        <f>G467</f>
        <v>2569270.5099999998</v>
      </c>
      <c r="X467" s="165">
        <v>2015</v>
      </c>
      <c r="Y467" s="165">
        <v>2016</v>
      </c>
      <c r="Z467" s="156">
        <f>Z466+1</f>
        <v>185</v>
      </c>
      <c r="AA467" s="156"/>
    </row>
    <row r="468" spans="1:28" s="116" customFormat="1" ht="19.5" customHeight="1" x14ac:dyDescent="0.25">
      <c r="A468" s="183" t="s">
        <v>173</v>
      </c>
      <c r="B468" s="183"/>
      <c r="C468" s="147"/>
      <c r="D468" s="165"/>
      <c r="E468" s="29">
        <v>0</v>
      </c>
      <c r="F468" s="29">
        <v>0</v>
      </c>
      <c r="G468" s="19">
        <v>0</v>
      </c>
      <c r="H468" s="28">
        <v>0</v>
      </c>
      <c r="I468" s="28"/>
      <c r="J468" s="28">
        <v>0</v>
      </c>
      <c r="K468" s="28">
        <v>0</v>
      </c>
      <c r="L468" s="28"/>
      <c r="M468" s="28">
        <v>0</v>
      </c>
      <c r="N468" s="28"/>
      <c r="O468" s="28">
        <v>0</v>
      </c>
      <c r="P468" s="28"/>
      <c r="Q468" s="28">
        <v>0</v>
      </c>
      <c r="R468" s="28"/>
      <c r="S468" s="28">
        <v>0</v>
      </c>
      <c r="T468" s="28">
        <v>0</v>
      </c>
      <c r="U468" s="28">
        <v>0</v>
      </c>
      <c r="V468" s="28">
        <v>0</v>
      </c>
      <c r="W468" s="19">
        <v>0</v>
      </c>
      <c r="X468" s="20" t="s">
        <v>368</v>
      </c>
      <c r="Y468" s="20" t="s">
        <v>368</v>
      </c>
      <c r="Z468" s="156"/>
      <c r="AA468" s="156"/>
    </row>
    <row r="469" spans="1:28" s="116" customFormat="1" ht="19.5" customHeight="1" x14ac:dyDescent="0.25">
      <c r="A469" s="183" t="s">
        <v>171</v>
      </c>
      <c r="B469" s="183"/>
      <c r="C469" s="147"/>
      <c r="D469" s="165"/>
      <c r="E469" s="29">
        <v>0</v>
      </c>
      <c r="F469" s="29">
        <v>0</v>
      </c>
      <c r="G469" s="19">
        <v>0</v>
      </c>
      <c r="H469" s="28">
        <v>0</v>
      </c>
      <c r="I469" s="28"/>
      <c r="J469" s="28">
        <v>0</v>
      </c>
      <c r="K469" s="28">
        <v>0</v>
      </c>
      <c r="L469" s="28"/>
      <c r="M469" s="28">
        <v>0</v>
      </c>
      <c r="N469" s="28"/>
      <c r="O469" s="28">
        <v>0</v>
      </c>
      <c r="P469" s="28"/>
      <c r="Q469" s="28">
        <v>0</v>
      </c>
      <c r="R469" s="28"/>
      <c r="S469" s="28">
        <v>0</v>
      </c>
      <c r="T469" s="28">
        <v>0</v>
      </c>
      <c r="U469" s="28">
        <v>0</v>
      </c>
      <c r="V469" s="28">
        <v>0</v>
      </c>
      <c r="W469" s="19">
        <v>0</v>
      </c>
      <c r="X469" s="20" t="s">
        <v>368</v>
      </c>
      <c r="Y469" s="20" t="s">
        <v>368</v>
      </c>
      <c r="Z469" s="156"/>
      <c r="AA469" s="156"/>
    </row>
    <row r="470" spans="1:28" s="116" customFormat="1" ht="19.5" customHeight="1" x14ac:dyDescent="0.25">
      <c r="A470" s="183" t="s">
        <v>172</v>
      </c>
      <c r="B470" s="183"/>
      <c r="C470" s="144"/>
      <c r="D470" s="167"/>
      <c r="E470" s="29">
        <f>SUM(E466:E467)</f>
        <v>10180.6</v>
      </c>
      <c r="F470" s="29">
        <f>SUM(F466:F467)</f>
        <v>9378.2000000000007</v>
      </c>
      <c r="G470" s="19">
        <f t="shared" ref="G470:W470" si="134">SUM(G466:G467)</f>
        <v>5348293.68</v>
      </c>
      <c r="H470" s="28">
        <f t="shared" si="134"/>
        <v>3014622.39</v>
      </c>
      <c r="I470" s="28"/>
      <c r="J470" s="28">
        <f t="shared" si="134"/>
        <v>0</v>
      </c>
      <c r="K470" s="28">
        <f t="shared" si="134"/>
        <v>0</v>
      </c>
      <c r="L470" s="28"/>
      <c r="M470" s="28">
        <f t="shared" si="134"/>
        <v>2333671.29</v>
      </c>
      <c r="N470" s="28"/>
      <c r="O470" s="28">
        <f t="shared" si="134"/>
        <v>0</v>
      </c>
      <c r="P470" s="28"/>
      <c r="Q470" s="28">
        <f t="shared" si="134"/>
        <v>0</v>
      </c>
      <c r="R470" s="28"/>
      <c r="S470" s="28">
        <f t="shared" si="134"/>
        <v>0</v>
      </c>
      <c r="T470" s="28">
        <f t="shared" si="134"/>
        <v>0</v>
      </c>
      <c r="U470" s="28">
        <f t="shared" si="134"/>
        <v>0</v>
      </c>
      <c r="V470" s="28">
        <f t="shared" si="134"/>
        <v>0</v>
      </c>
      <c r="W470" s="19">
        <f t="shared" si="134"/>
        <v>5348293.68</v>
      </c>
      <c r="X470" s="20" t="s">
        <v>368</v>
      </c>
      <c r="Y470" s="20" t="s">
        <v>368</v>
      </c>
      <c r="Z470" s="156"/>
      <c r="AA470" s="156"/>
      <c r="AB470" s="157">
        <f>T470+V470+W470</f>
        <v>5348293.68</v>
      </c>
    </row>
    <row r="471" spans="1:28" s="116" customFormat="1" ht="19.5" customHeight="1" x14ac:dyDescent="0.25">
      <c r="A471" s="183" t="s">
        <v>370</v>
      </c>
      <c r="B471" s="183"/>
      <c r="C471" s="144"/>
      <c r="D471" s="167"/>
      <c r="E471" s="29">
        <f t="shared" ref="E471:W471" si="135">E468+E462+E454+E444+E436+E431+E417+E410</f>
        <v>0</v>
      </c>
      <c r="F471" s="29">
        <f t="shared" si="135"/>
        <v>0</v>
      </c>
      <c r="G471" s="19">
        <f t="shared" si="135"/>
        <v>0</v>
      </c>
      <c r="H471" s="19">
        <f t="shared" si="135"/>
        <v>0</v>
      </c>
      <c r="I471" s="19">
        <f t="shared" si="135"/>
        <v>0</v>
      </c>
      <c r="J471" s="19">
        <f t="shared" si="135"/>
        <v>0</v>
      </c>
      <c r="K471" s="19">
        <f t="shared" si="135"/>
        <v>0</v>
      </c>
      <c r="L471" s="19">
        <f t="shared" si="135"/>
        <v>0</v>
      </c>
      <c r="M471" s="19">
        <f t="shared" si="135"/>
        <v>0</v>
      </c>
      <c r="N471" s="19">
        <f t="shared" si="135"/>
        <v>0</v>
      </c>
      <c r="O471" s="19">
        <f t="shared" si="135"/>
        <v>0</v>
      </c>
      <c r="P471" s="19">
        <f t="shared" si="135"/>
        <v>0</v>
      </c>
      <c r="Q471" s="19">
        <f t="shared" si="135"/>
        <v>0</v>
      </c>
      <c r="R471" s="19">
        <f t="shared" si="135"/>
        <v>0</v>
      </c>
      <c r="S471" s="19">
        <f t="shared" si="135"/>
        <v>0</v>
      </c>
      <c r="T471" s="19">
        <f t="shared" si="135"/>
        <v>0</v>
      </c>
      <c r="U471" s="19">
        <f t="shared" si="135"/>
        <v>0</v>
      </c>
      <c r="V471" s="19">
        <f t="shared" si="135"/>
        <v>0</v>
      </c>
      <c r="W471" s="19">
        <f t="shared" si="135"/>
        <v>0</v>
      </c>
      <c r="X471" s="20" t="s">
        <v>368</v>
      </c>
      <c r="Y471" s="20" t="s">
        <v>368</v>
      </c>
      <c r="Z471" s="156"/>
      <c r="AA471" s="156"/>
    </row>
    <row r="472" spans="1:28" s="116" customFormat="1" ht="19.5" customHeight="1" x14ac:dyDescent="0.25">
      <c r="A472" s="183" t="s">
        <v>298</v>
      </c>
      <c r="B472" s="183"/>
      <c r="C472" s="144"/>
      <c r="D472" s="167"/>
      <c r="E472" s="29">
        <f t="shared" ref="E472:W472" si="136">E469+E463+E455+E445+E437+E432+E418+E411</f>
        <v>14508.9</v>
      </c>
      <c r="F472" s="29">
        <f t="shared" si="136"/>
        <v>8401.2999999999993</v>
      </c>
      <c r="G472" s="19">
        <f t="shared" si="136"/>
        <v>16177574.379999999</v>
      </c>
      <c r="H472" s="19">
        <f t="shared" si="136"/>
        <v>316996</v>
      </c>
      <c r="I472" s="19">
        <f t="shared" si="136"/>
        <v>0</v>
      </c>
      <c r="J472" s="19">
        <f t="shared" si="136"/>
        <v>0</v>
      </c>
      <c r="K472" s="19">
        <f t="shared" si="136"/>
        <v>15860578.379999999</v>
      </c>
      <c r="L472" s="19">
        <f t="shared" si="136"/>
        <v>0</v>
      </c>
      <c r="M472" s="19">
        <f t="shared" si="136"/>
        <v>0</v>
      </c>
      <c r="N472" s="19">
        <f t="shared" si="136"/>
        <v>0</v>
      </c>
      <c r="O472" s="19">
        <f t="shared" si="136"/>
        <v>0</v>
      </c>
      <c r="P472" s="19">
        <f t="shared" si="136"/>
        <v>0</v>
      </c>
      <c r="Q472" s="19">
        <f t="shared" si="136"/>
        <v>0</v>
      </c>
      <c r="R472" s="19">
        <f t="shared" si="136"/>
        <v>0</v>
      </c>
      <c r="S472" s="19">
        <f t="shared" si="136"/>
        <v>0</v>
      </c>
      <c r="T472" s="19">
        <f t="shared" si="136"/>
        <v>1482460.3900000001</v>
      </c>
      <c r="U472" s="19">
        <f t="shared" si="136"/>
        <v>0</v>
      </c>
      <c r="V472" s="19">
        <f t="shared" si="136"/>
        <v>3350629.2099999995</v>
      </c>
      <c r="W472" s="19">
        <f t="shared" si="136"/>
        <v>11344484.780000001</v>
      </c>
      <c r="X472" s="20" t="s">
        <v>368</v>
      </c>
      <c r="Y472" s="20" t="s">
        <v>368</v>
      </c>
      <c r="Z472" s="156"/>
      <c r="AA472" s="156"/>
    </row>
    <row r="473" spans="1:28" s="116" customFormat="1" ht="19.5" customHeight="1" x14ac:dyDescent="0.25">
      <c r="A473" s="183" t="s">
        <v>371</v>
      </c>
      <c r="B473" s="183"/>
      <c r="C473" s="144"/>
      <c r="D473" s="167"/>
      <c r="E473" s="29">
        <f>E470+E464+E456+E446+E438+E433+E419+E412</f>
        <v>56331.100000000006</v>
      </c>
      <c r="F473" s="29">
        <f t="shared" ref="F473:W473" si="137">F470+F464+F456+F446+F438+F433+F419+F412</f>
        <v>50743.199999999997</v>
      </c>
      <c r="G473" s="19">
        <f t="shared" si="137"/>
        <v>63848985.090000004</v>
      </c>
      <c r="H473" s="19">
        <f t="shared" si="137"/>
        <v>18841888.43</v>
      </c>
      <c r="I473" s="19">
        <f t="shared" si="137"/>
        <v>10370.240529323442</v>
      </c>
      <c r="J473" s="19">
        <f t="shared" si="137"/>
        <v>4021580.94</v>
      </c>
      <c r="K473" s="19">
        <f t="shared" si="137"/>
        <v>30625347.489999998</v>
      </c>
      <c r="L473" s="19">
        <f t="shared" si="137"/>
        <v>17952.920453151375</v>
      </c>
      <c r="M473" s="19">
        <f t="shared" si="137"/>
        <v>2450427.02</v>
      </c>
      <c r="N473" s="19">
        <f t="shared" si="137"/>
        <v>248.84000426257458</v>
      </c>
      <c r="O473" s="19">
        <f t="shared" si="137"/>
        <v>7909741.21</v>
      </c>
      <c r="P473" s="19">
        <f t="shared" si="137"/>
        <v>7395.3091164447469</v>
      </c>
      <c r="Q473" s="19">
        <f t="shared" si="137"/>
        <v>0</v>
      </c>
      <c r="R473" s="19">
        <f t="shared" si="137"/>
        <v>0</v>
      </c>
      <c r="S473" s="19">
        <f t="shared" si="137"/>
        <v>0</v>
      </c>
      <c r="T473" s="19">
        <f t="shared" si="137"/>
        <v>0</v>
      </c>
      <c r="U473" s="19">
        <f t="shared" si="137"/>
        <v>0</v>
      </c>
      <c r="V473" s="19">
        <f t="shared" si="137"/>
        <v>793764.99999999988</v>
      </c>
      <c r="W473" s="19">
        <f t="shared" si="137"/>
        <v>63055220.090000004</v>
      </c>
      <c r="X473" s="20" t="s">
        <v>368</v>
      </c>
      <c r="Y473" s="20" t="s">
        <v>368</v>
      </c>
      <c r="Z473" s="156"/>
      <c r="AA473" s="156"/>
      <c r="AB473" s="157">
        <f>T473+V473+W473</f>
        <v>63848985.090000004</v>
      </c>
    </row>
    <row r="474" spans="1:28" s="116" customFormat="1" ht="17.25" customHeight="1" x14ac:dyDescent="0.25">
      <c r="A474" s="182" t="s">
        <v>256</v>
      </c>
      <c r="B474" s="182"/>
      <c r="C474" s="182"/>
      <c r="D474" s="182"/>
      <c r="E474" s="182"/>
      <c r="F474" s="182"/>
      <c r="G474" s="182"/>
      <c r="H474" s="182"/>
      <c r="I474" s="182"/>
      <c r="J474" s="182"/>
      <c r="K474" s="182"/>
      <c r="L474" s="182"/>
      <c r="M474" s="182"/>
      <c r="N474" s="182"/>
      <c r="O474" s="182"/>
      <c r="P474" s="182"/>
      <c r="Q474" s="182"/>
      <c r="R474" s="182"/>
      <c r="S474" s="182"/>
      <c r="T474" s="182"/>
      <c r="U474" s="182"/>
      <c r="V474" s="182"/>
      <c r="W474" s="182"/>
      <c r="X474" s="165"/>
      <c r="Y474" s="165"/>
      <c r="Z474" s="156"/>
      <c r="AA474" s="156"/>
    </row>
    <row r="475" spans="1:28" s="116" customFormat="1" ht="17.25" customHeight="1" x14ac:dyDescent="0.25">
      <c r="A475" s="182" t="s">
        <v>257</v>
      </c>
      <c r="B475" s="182"/>
      <c r="C475" s="182"/>
      <c r="D475" s="182"/>
      <c r="E475" s="182"/>
      <c r="F475" s="182"/>
      <c r="G475" s="182"/>
      <c r="H475" s="182"/>
      <c r="I475" s="182"/>
      <c r="J475" s="182"/>
      <c r="K475" s="182"/>
      <c r="L475" s="182"/>
      <c r="M475" s="182"/>
      <c r="N475" s="182"/>
      <c r="O475" s="182"/>
      <c r="P475" s="182"/>
      <c r="Q475" s="182"/>
      <c r="R475" s="182"/>
      <c r="S475" s="182"/>
      <c r="T475" s="182"/>
      <c r="U475" s="182"/>
      <c r="V475" s="182"/>
      <c r="W475" s="182"/>
      <c r="X475" s="165"/>
      <c r="Y475" s="165"/>
      <c r="Z475" s="156"/>
      <c r="AA475" s="156"/>
    </row>
    <row r="476" spans="1:28" s="116" customFormat="1" ht="18" customHeight="1" x14ac:dyDescent="0.25">
      <c r="A476" s="165">
        <f>A467+1</f>
        <v>353</v>
      </c>
      <c r="B476" s="24" t="s">
        <v>258</v>
      </c>
      <c r="C476" s="142" t="s">
        <v>259</v>
      </c>
      <c r="D476" s="165"/>
      <c r="E476" s="45">
        <v>5215.2</v>
      </c>
      <c r="F476" s="45">
        <v>4563.7</v>
      </c>
      <c r="G476" s="42">
        <f>SUM(H476:S476)</f>
        <v>1268750</v>
      </c>
      <c r="H476" s="35">
        <v>1268750</v>
      </c>
      <c r="I476" s="35"/>
      <c r="J476" s="35">
        <v>0</v>
      </c>
      <c r="K476" s="35">
        <v>0</v>
      </c>
      <c r="L476" s="35"/>
      <c r="M476" s="35">
        <v>0</v>
      </c>
      <c r="N476" s="35"/>
      <c r="O476" s="35">
        <v>0</v>
      </c>
      <c r="P476" s="35"/>
      <c r="Q476" s="35">
        <v>0</v>
      </c>
      <c r="R476" s="35"/>
      <c r="S476" s="35">
        <v>0</v>
      </c>
      <c r="T476" s="35">
        <v>0</v>
      </c>
      <c r="U476" s="35">
        <v>0</v>
      </c>
      <c r="V476" s="35">
        <v>0</v>
      </c>
      <c r="W476" s="42">
        <f t="shared" ref="W476:W481" si="138">G476</f>
        <v>1268750</v>
      </c>
      <c r="X476" s="165">
        <v>2015</v>
      </c>
      <c r="Y476" s="165">
        <v>2015</v>
      </c>
      <c r="Z476" s="156"/>
      <c r="AA476" s="156"/>
    </row>
    <row r="477" spans="1:28" s="116" customFormat="1" ht="18" customHeight="1" x14ac:dyDescent="0.25">
      <c r="A477" s="165">
        <f>A476+1</f>
        <v>354</v>
      </c>
      <c r="B477" s="24" t="s">
        <v>260</v>
      </c>
      <c r="C477" s="142" t="s">
        <v>182</v>
      </c>
      <c r="D477" s="165"/>
      <c r="E477" s="45">
        <v>1963.4</v>
      </c>
      <c r="F477" s="45">
        <v>1812.3</v>
      </c>
      <c r="G477" s="42">
        <f>SUM(H477:S477)</f>
        <v>542000</v>
      </c>
      <c r="H477" s="35">
        <v>542000</v>
      </c>
      <c r="I477" s="35"/>
      <c r="J477" s="35">
        <v>0</v>
      </c>
      <c r="K477" s="35">
        <v>0</v>
      </c>
      <c r="L477" s="35"/>
      <c r="M477" s="35">
        <v>0</v>
      </c>
      <c r="N477" s="35"/>
      <c r="O477" s="35">
        <v>0</v>
      </c>
      <c r="P477" s="35"/>
      <c r="Q477" s="35">
        <v>0</v>
      </c>
      <c r="R477" s="35"/>
      <c r="S477" s="35">
        <v>0</v>
      </c>
      <c r="T477" s="35">
        <v>0</v>
      </c>
      <c r="U477" s="35">
        <v>0</v>
      </c>
      <c r="V477" s="35">
        <v>0</v>
      </c>
      <c r="W477" s="42">
        <f t="shared" si="138"/>
        <v>542000</v>
      </c>
      <c r="X477" s="165">
        <v>2015</v>
      </c>
      <c r="Y477" s="165">
        <v>2015</v>
      </c>
      <c r="Z477" s="156"/>
      <c r="AA477" s="156"/>
    </row>
    <row r="478" spans="1:28" s="116" customFormat="1" ht="18" customHeight="1" x14ac:dyDescent="0.25">
      <c r="A478" s="165">
        <f>A477+1</f>
        <v>355</v>
      </c>
      <c r="B478" s="24" t="s">
        <v>261</v>
      </c>
      <c r="C478" s="142" t="s">
        <v>207</v>
      </c>
      <c r="D478" s="165"/>
      <c r="E478" s="45">
        <v>683.2</v>
      </c>
      <c r="F478" s="45">
        <v>634.9</v>
      </c>
      <c r="G478" s="42">
        <f>SUM(H478:S478)</f>
        <v>359000</v>
      </c>
      <c r="H478" s="35">
        <v>359000</v>
      </c>
      <c r="I478" s="35"/>
      <c r="J478" s="35">
        <v>0</v>
      </c>
      <c r="K478" s="35">
        <v>0</v>
      </c>
      <c r="L478" s="35"/>
      <c r="M478" s="35">
        <v>0</v>
      </c>
      <c r="N478" s="35"/>
      <c r="O478" s="35">
        <v>0</v>
      </c>
      <c r="P478" s="35"/>
      <c r="Q478" s="35">
        <v>0</v>
      </c>
      <c r="R478" s="35"/>
      <c r="S478" s="35">
        <v>0</v>
      </c>
      <c r="T478" s="35">
        <v>0</v>
      </c>
      <c r="U478" s="35">
        <v>0</v>
      </c>
      <c r="V478" s="35">
        <v>0</v>
      </c>
      <c r="W478" s="42">
        <f t="shared" si="138"/>
        <v>359000</v>
      </c>
      <c r="X478" s="165">
        <v>2015</v>
      </c>
      <c r="Y478" s="165">
        <v>2015</v>
      </c>
      <c r="Z478" s="156"/>
      <c r="AA478" s="156"/>
    </row>
    <row r="479" spans="1:28" s="116" customFormat="1" ht="18" customHeight="1" x14ac:dyDescent="0.25">
      <c r="A479" s="165">
        <f>A478+1</f>
        <v>356</v>
      </c>
      <c r="B479" s="158" t="s">
        <v>372</v>
      </c>
      <c r="C479" s="143" t="s">
        <v>373</v>
      </c>
      <c r="D479" s="76"/>
      <c r="E479" s="45">
        <v>1607.9</v>
      </c>
      <c r="F479" s="45">
        <v>1419.5</v>
      </c>
      <c r="G479" s="42">
        <f>H479+J479+K479+M479+O479+Q479+S479</f>
        <v>519537</v>
      </c>
      <c r="H479" s="35">
        <v>519537</v>
      </c>
      <c r="I479" s="35">
        <f>H479/F479</f>
        <v>366</v>
      </c>
      <c r="J479" s="35">
        <v>0</v>
      </c>
      <c r="K479" s="35">
        <v>0</v>
      </c>
      <c r="L479" s="35"/>
      <c r="M479" s="35">
        <v>0</v>
      </c>
      <c r="N479" s="35"/>
      <c r="O479" s="35">
        <v>0</v>
      </c>
      <c r="P479" s="35"/>
      <c r="Q479" s="35">
        <v>0</v>
      </c>
      <c r="R479" s="35"/>
      <c r="S479" s="35">
        <v>0</v>
      </c>
      <c r="T479" s="35">
        <v>0</v>
      </c>
      <c r="U479" s="35">
        <v>0</v>
      </c>
      <c r="V479" s="35">
        <v>0</v>
      </c>
      <c r="W479" s="42">
        <f t="shared" si="138"/>
        <v>519537</v>
      </c>
      <c r="X479" s="165">
        <v>2016</v>
      </c>
      <c r="Y479" s="165">
        <v>2016</v>
      </c>
      <c r="Z479" s="156">
        <f>Z467+1</f>
        <v>186</v>
      </c>
      <c r="AA479" s="156">
        <f>AA467+1</f>
        <v>1</v>
      </c>
    </row>
    <row r="480" spans="1:28" s="116" customFormat="1" ht="18" customHeight="1" x14ac:dyDescent="0.25">
      <c r="A480" s="165">
        <f>A479+1</f>
        <v>357</v>
      </c>
      <c r="B480" s="158" t="s">
        <v>374</v>
      </c>
      <c r="C480" s="143" t="s">
        <v>375</v>
      </c>
      <c r="D480" s="76"/>
      <c r="E480" s="45">
        <v>1029.4000000000001</v>
      </c>
      <c r="F480" s="45">
        <v>945.4</v>
      </c>
      <c r="G480" s="42">
        <f>H480+J480+K480+M480+O480+Q480+S480</f>
        <v>346016.4</v>
      </c>
      <c r="H480" s="35">
        <v>346016.4</v>
      </c>
      <c r="I480" s="35">
        <f>H480/F480</f>
        <v>366.00000000000006</v>
      </c>
      <c r="J480" s="35">
        <v>0</v>
      </c>
      <c r="K480" s="35">
        <v>0</v>
      </c>
      <c r="L480" s="35"/>
      <c r="M480" s="35">
        <v>0</v>
      </c>
      <c r="N480" s="35"/>
      <c r="O480" s="35">
        <v>0</v>
      </c>
      <c r="P480" s="35"/>
      <c r="Q480" s="35">
        <v>0</v>
      </c>
      <c r="R480" s="35"/>
      <c r="S480" s="35">
        <v>0</v>
      </c>
      <c r="T480" s="35">
        <v>0</v>
      </c>
      <c r="U480" s="35">
        <v>0</v>
      </c>
      <c r="V480" s="35">
        <v>0</v>
      </c>
      <c r="W480" s="42">
        <f t="shared" si="138"/>
        <v>346016.4</v>
      </c>
      <c r="X480" s="165">
        <v>2016</v>
      </c>
      <c r="Y480" s="165">
        <v>2016</v>
      </c>
      <c r="Z480" s="156">
        <f>Z479+1</f>
        <v>187</v>
      </c>
      <c r="AA480" s="156">
        <f>AA479+1</f>
        <v>2</v>
      </c>
    </row>
    <row r="481" spans="1:28" s="116" customFormat="1" ht="18" customHeight="1" x14ac:dyDescent="0.25">
      <c r="A481" s="165">
        <f>A480+1</f>
        <v>358</v>
      </c>
      <c r="B481" s="158" t="s">
        <v>376</v>
      </c>
      <c r="C481" s="143" t="s">
        <v>284</v>
      </c>
      <c r="D481" s="76"/>
      <c r="E481" s="45">
        <v>3795.5</v>
      </c>
      <c r="F481" s="45">
        <v>3356.2</v>
      </c>
      <c r="G481" s="42">
        <f>H481+J481+K481+M481+O481+Q481+S481</f>
        <v>1228369.2</v>
      </c>
      <c r="H481" s="35">
        <v>1228369.2</v>
      </c>
      <c r="I481" s="35">
        <f>H481/F481</f>
        <v>366</v>
      </c>
      <c r="J481" s="35">
        <v>0</v>
      </c>
      <c r="K481" s="35">
        <v>0</v>
      </c>
      <c r="L481" s="35"/>
      <c r="M481" s="35">
        <v>0</v>
      </c>
      <c r="N481" s="35"/>
      <c r="O481" s="35">
        <v>0</v>
      </c>
      <c r="P481" s="35"/>
      <c r="Q481" s="35">
        <v>0</v>
      </c>
      <c r="R481" s="35"/>
      <c r="S481" s="35">
        <v>0</v>
      </c>
      <c r="T481" s="35">
        <v>0</v>
      </c>
      <c r="U481" s="35">
        <v>0</v>
      </c>
      <c r="V481" s="35">
        <v>0</v>
      </c>
      <c r="W481" s="42">
        <f t="shared" si="138"/>
        <v>1228369.2</v>
      </c>
      <c r="X481" s="165">
        <v>2016</v>
      </c>
      <c r="Y481" s="165">
        <v>2016</v>
      </c>
      <c r="Z481" s="156">
        <f>Z480+1</f>
        <v>188</v>
      </c>
      <c r="AA481" s="156">
        <f>AA480+1</f>
        <v>3</v>
      </c>
    </row>
    <row r="482" spans="1:28" s="116" customFormat="1" ht="19.5" customHeight="1" x14ac:dyDescent="0.25">
      <c r="A482" s="183" t="s">
        <v>173</v>
      </c>
      <c r="B482" s="183"/>
      <c r="C482" s="147"/>
      <c r="D482" s="76"/>
      <c r="E482" s="29">
        <v>0</v>
      </c>
      <c r="F482" s="29">
        <v>0</v>
      </c>
      <c r="G482" s="19">
        <v>0</v>
      </c>
      <c r="H482" s="28">
        <v>0</v>
      </c>
      <c r="I482" s="28"/>
      <c r="J482" s="28">
        <v>0</v>
      </c>
      <c r="K482" s="28">
        <v>0</v>
      </c>
      <c r="L482" s="28"/>
      <c r="M482" s="28">
        <v>0</v>
      </c>
      <c r="N482" s="28"/>
      <c r="O482" s="28">
        <v>0</v>
      </c>
      <c r="P482" s="28"/>
      <c r="Q482" s="28">
        <v>0</v>
      </c>
      <c r="R482" s="28"/>
      <c r="S482" s="28">
        <v>0</v>
      </c>
      <c r="T482" s="28">
        <v>0</v>
      </c>
      <c r="U482" s="28">
        <v>0</v>
      </c>
      <c r="V482" s="28">
        <v>0</v>
      </c>
      <c r="W482" s="19">
        <v>0</v>
      </c>
      <c r="X482" s="20" t="s">
        <v>368</v>
      </c>
      <c r="Y482" s="20" t="s">
        <v>368</v>
      </c>
      <c r="Z482" s="156"/>
      <c r="AA482" s="156"/>
    </row>
    <row r="483" spans="1:28" s="116" customFormat="1" ht="19.5" customHeight="1" x14ac:dyDescent="0.25">
      <c r="A483" s="183" t="s">
        <v>171</v>
      </c>
      <c r="B483" s="183"/>
      <c r="C483" s="147"/>
      <c r="D483" s="76"/>
      <c r="E483" s="29">
        <f>SUM(E476:E478)</f>
        <v>7861.8</v>
      </c>
      <c r="F483" s="29">
        <f>SUM(F476:F478)</f>
        <v>7010.9</v>
      </c>
      <c r="G483" s="19">
        <f t="shared" ref="G483:W483" si="139">SUM(G476:G478)</f>
        <v>2169750</v>
      </c>
      <c r="H483" s="28">
        <f t="shared" si="139"/>
        <v>2169750</v>
      </c>
      <c r="I483" s="28"/>
      <c r="J483" s="28">
        <f t="shared" si="139"/>
        <v>0</v>
      </c>
      <c r="K483" s="28">
        <f t="shared" si="139"/>
        <v>0</v>
      </c>
      <c r="L483" s="28"/>
      <c r="M483" s="28">
        <f t="shared" si="139"/>
        <v>0</v>
      </c>
      <c r="N483" s="28"/>
      <c r="O483" s="28">
        <f t="shared" si="139"/>
        <v>0</v>
      </c>
      <c r="P483" s="28"/>
      <c r="Q483" s="28">
        <f t="shared" si="139"/>
        <v>0</v>
      </c>
      <c r="R483" s="28"/>
      <c r="S483" s="28">
        <f t="shared" si="139"/>
        <v>0</v>
      </c>
      <c r="T483" s="28">
        <f t="shared" si="139"/>
        <v>0</v>
      </c>
      <c r="U483" s="28">
        <f t="shared" si="139"/>
        <v>0</v>
      </c>
      <c r="V483" s="28">
        <f t="shared" si="139"/>
        <v>0</v>
      </c>
      <c r="W483" s="19">
        <f t="shared" si="139"/>
        <v>2169750</v>
      </c>
      <c r="X483" s="20" t="s">
        <v>368</v>
      </c>
      <c r="Y483" s="20" t="s">
        <v>368</v>
      </c>
      <c r="Z483" s="156"/>
      <c r="AA483" s="156"/>
    </row>
    <row r="484" spans="1:28" s="116" customFormat="1" ht="19.5" customHeight="1" x14ac:dyDescent="0.25">
      <c r="A484" s="183" t="s">
        <v>172</v>
      </c>
      <c r="B484" s="183"/>
      <c r="C484" s="144"/>
      <c r="D484" s="167"/>
      <c r="E484" s="29">
        <f>SUM(E479:E481)</f>
        <v>6432.8</v>
      </c>
      <c r="F484" s="29">
        <f>SUM(F479:F481)</f>
        <v>5721.1</v>
      </c>
      <c r="G484" s="19">
        <f t="shared" ref="G484:W484" si="140">SUM(G479:G481)</f>
        <v>2093922.6</v>
      </c>
      <c r="H484" s="28">
        <f t="shared" si="140"/>
        <v>2093922.6</v>
      </c>
      <c r="I484" s="28"/>
      <c r="J484" s="28">
        <f t="shared" si="140"/>
        <v>0</v>
      </c>
      <c r="K484" s="28">
        <f t="shared" si="140"/>
        <v>0</v>
      </c>
      <c r="L484" s="28"/>
      <c r="M484" s="28">
        <f t="shared" si="140"/>
        <v>0</v>
      </c>
      <c r="N484" s="28"/>
      <c r="O484" s="28">
        <f t="shared" si="140"/>
        <v>0</v>
      </c>
      <c r="P484" s="28"/>
      <c r="Q484" s="28">
        <f t="shared" si="140"/>
        <v>0</v>
      </c>
      <c r="R484" s="28"/>
      <c r="S484" s="28">
        <f t="shared" si="140"/>
        <v>0</v>
      </c>
      <c r="T484" s="28">
        <f t="shared" si="140"/>
        <v>0</v>
      </c>
      <c r="U484" s="28">
        <f t="shared" si="140"/>
        <v>0</v>
      </c>
      <c r="V484" s="28">
        <f t="shared" si="140"/>
        <v>0</v>
      </c>
      <c r="W484" s="19">
        <f t="shared" si="140"/>
        <v>2093922.6</v>
      </c>
      <c r="X484" s="20" t="s">
        <v>368</v>
      </c>
      <c r="Y484" s="20" t="s">
        <v>368</v>
      </c>
      <c r="Z484" s="156"/>
      <c r="AA484" s="156"/>
      <c r="AB484" s="157">
        <f>T484+V484+W484</f>
        <v>2093922.6</v>
      </c>
    </row>
    <row r="485" spans="1:28" s="116" customFormat="1" ht="17.25" customHeight="1" x14ac:dyDescent="0.25">
      <c r="A485" s="182" t="s">
        <v>262</v>
      </c>
      <c r="B485" s="182"/>
      <c r="C485" s="182"/>
      <c r="D485" s="182"/>
      <c r="E485" s="182"/>
      <c r="F485" s="182"/>
      <c r="G485" s="182"/>
      <c r="H485" s="182"/>
      <c r="I485" s="182"/>
      <c r="J485" s="182"/>
      <c r="K485" s="182"/>
      <c r="L485" s="182"/>
      <c r="M485" s="182"/>
      <c r="N485" s="182"/>
      <c r="O485" s="182"/>
      <c r="P485" s="182"/>
      <c r="Q485" s="182"/>
      <c r="R485" s="182"/>
      <c r="S485" s="182"/>
      <c r="T485" s="182"/>
      <c r="U485" s="182"/>
      <c r="V485" s="182"/>
      <c r="W485" s="182"/>
      <c r="X485" s="165"/>
      <c r="Y485" s="165"/>
      <c r="Z485" s="156"/>
      <c r="AA485" s="156"/>
    </row>
    <row r="486" spans="1:28" s="118" customFormat="1" ht="18" customHeight="1" x14ac:dyDescent="0.3">
      <c r="A486" s="165">
        <f>A481+1</f>
        <v>359</v>
      </c>
      <c r="B486" s="37" t="s">
        <v>403</v>
      </c>
      <c r="C486" s="149">
        <v>1977</v>
      </c>
      <c r="D486" s="92"/>
      <c r="E486" s="93">
        <v>4469.2</v>
      </c>
      <c r="F486" s="93">
        <v>3871.1</v>
      </c>
      <c r="G486" s="42">
        <f>H486+J486+K486+M486+O486+Q486+S486</f>
        <v>5350554.9400000004</v>
      </c>
      <c r="H486" s="94">
        <v>1329174.0000000005</v>
      </c>
      <c r="I486" s="42">
        <f>H486/F486</f>
        <v>343.35821859419815</v>
      </c>
      <c r="J486" s="94">
        <v>4021380.94</v>
      </c>
      <c r="K486" s="35">
        <v>0</v>
      </c>
      <c r="L486" s="35"/>
      <c r="M486" s="35">
        <v>0</v>
      </c>
      <c r="N486" s="35"/>
      <c r="O486" s="35">
        <v>0</v>
      </c>
      <c r="P486" s="35">
        <f>O486/F486</f>
        <v>0</v>
      </c>
      <c r="Q486" s="35">
        <v>0</v>
      </c>
      <c r="R486" s="35"/>
      <c r="S486" s="35">
        <v>0</v>
      </c>
      <c r="T486" s="35">
        <v>0</v>
      </c>
      <c r="U486" s="35">
        <v>0</v>
      </c>
      <c r="V486" s="35">
        <v>0</v>
      </c>
      <c r="W486" s="42">
        <f>G486</f>
        <v>5350554.9400000004</v>
      </c>
      <c r="X486" s="165">
        <v>2016</v>
      </c>
      <c r="Y486" s="165">
        <v>2016</v>
      </c>
      <c r="Z486" s="155">
        <f>Z481+1</f>
        <v>189</v>
      </c>
      <c r="AA486" s="156"/>
    </row>
    <row r="487" spans="1:28" s="116" customFormat="1" ht="19.5" customHeight="1" x14ac:dyDescent="0.25">
      <c r="A487" s="183" t="s">
        <v>173</v>
      </c>
      <c r="B487" s="183"/>
      <c r="C487" s="147"/>
      <c r="D487" s="64"/>
      <c r="E487" s="29">
        <v>0</v>
      </c>
      <c r="F487" s="29">
        <v>0</v>
      </c>
      <c r="G487" s="19">
        <v>0</v>
      </c>
      <c r="H487" s="28">
        <v>0</v>
      </c>
      <c r="I487" s="28"/>
      <c r="J487" s="28">
        <v>0</v>
      </c>
      <c r="K487" s="28">
        <v>0</v>
      </c>
      <c r="L487" s="28"/>
      <c r="M487" s="28">
        <v>0</v>
      </c>
      <c r="N487" s="28"/>
      <c r="O487" s="28">
        <v>0</v>
      </c>
      <c r="P487" s="28"/>
      <c r="Q487" s="28">
        <v>0</v>
      </c>
      <c r="R487" s="28"/>
      <c r="S487" s="28">
        <v>0</v>
      </c>
      <c r="T487" s="28">
        <v>0</v>
      </c>
      <c r="U487" s="28">
        <v>0</v>
      </c>
      <c r="V487" s="28">
        <v>0</v>
      </c>
      <c r="W487" s="19">
        <v>0</v>
      </c>
      <c r="X487" s="20" t="s">
        <v>368</v>
      </c>
      <c r="Y487" s="20" t="s">
        <v>368</v>
      </c>
      <c r="Z487" s="156"/>
      <c r="AA487" s="156"/>
    </row>
    <row r="488" spans="1:28" s="116" customFormat="1" ht="19.5" customHeight="1" x14ac:dyDescent="0.25">
      <c r="A488" s="183" t="s">
        <v>171</v>
      </c>
      <c r="B488" s="183"/>
      <c r="C488" s="144"/>
      <c r="D488" s="167"/>
      <c r="E488" s="29">
        <v>0</v>
      </c>
      <c r="F488" s="29">
        <v>0</v>
      </c>
      <c r="G488" s="19">
        <v>0</v>
      </c>
      <c r="H488" s="28">
        <v>0</v>
      </c>
      <c r="I488" s="28"/>
      <c r="J488" s="28">
        <v>0</v>
      </c>
      <c r="K488" s="28">
        <v>0</v>
      </c>
      <c r="L488" s="28"/>
      <c r="M488" s="28">
        <v>0</v>
      </c>
      <c r="N488" s="28"/>
      <c r="O488" s="28">
        <v>0</v>
      </c>
      <c r="P488" s="28"/>
      <c r="Q488" s="28">
        <v>0</v>
      </c>
      <c r="R488" s="28"/>
      <c r="S488" s="28">
        <v>0</v>
      </c>
      <c r="T488" s="28">
        <v>0</v>
      </c>
      <c r="U488" s="28">
        <v>0</v>
      </c>
      <c r="V488" s="28">
        <v>0</v>
      </c>
      <c r="W488" s="19">
        <v>0</v>
      </c>
      <c r="X488" s="20" t="s">
        <v>368</v>
      </c>
      <c r="Y488" s="20" t="s">
        <v>368</v>
      </c>
      <c r="Z488" s="156"/>
      <c r="AA488" s="155"/>
    </row>
    <row r="489" spans="1:28" s="116" customFormat="1" ht="19.5" customHeight="1" x14ac:dyDescent="0.25">
      <c r="A489" s="183" t="s">
        <v>172</v>
      </c>
      <c r="B489" s="183"/>
      <c r="C489" s="144"/>
      <c r="D489" s="167"/>
      <c r="E489" s="29">
        <f t="shared" ref="E489:W489" si="141">SUM(E486:E486)</f>
        <v>4469.2</v>
      </c>
      <c r="F489" s="29">
        <f t="shared" si="141"/>
        <v>3871.1</v>
      </c>
      <c r="G489" s="19">
        <f t="shared" si="141"/>
        <v>5350554.9400000004</v>
      </c>
      <c r="H489" s="19">
        <f t="shared" si="141"/>
        <v>1329174.0000000005</v>
      </c>
      <c r="I489" s="19">
        <f t="shared" si="141"/>
        <v>343.35821859419815</v>
      </c>
      <c r="J489" s="19">
        <f t="shared" si="141"/>
        <v>4021380.94</v>
      </c>
      <c r="K489" s="19">
        <f t="shared" si="141"/>
        <v>0</v>
      </c>
      <c r="L489" s="19">
        <f t="shared" si="141"/>
        <v>0</v>
      </c>
      <c r="M489" s="19">
        <f t="shared" si="141"/>
        <v>0</v>
      </c>
      <c r="N489" s="19">
        <f t="shared" si="141"/>
        <v>0</v>
      </c>
      <c r="O489" s="19">
        <f t="shared" si="141"/>
        <v>0</v>
      </c>
      <c r="P489" s="19">
        <f t="shared" si="141"/>
        <v>0</v>
      </c>
      <c r="Q489" s="19">
        <f t="shared" si="141"/>
        <v>0</v>
      </c>
      <c r="R489" s="19">
        <f t="shared" si="141"/>
        <v>0</v>
      </c>
      <c r="S489" s="19">
        <f t="shared" si="141"/>
        <v>0</v>
      </c>
      <c r="T489" s="19">
        <f t="shared" si="141"/>
        <v>0</v>
      </c>
      <c r="U489" s="19">
        <f t="shared" si="141"/>
        <v>0</v>
      </c>
      <c r="V489" s="19">
        <f t="shared" si="141"/>
        <v>0</v>
      </c>
      <c r="W489" s="19">
        <f t="shared" si="141"/>
        <v>5350554.9400000004</v>
      </c>
      <c r="X489" s="20" t="s">
        <v>368</v>
      </c>
      <c r="Y489" s="20" t="s">
        <v>368</v>
      </c>
      <c r="Z489" s="156"/>
      <c r="AA489" s="156"/>
      <c r="AB489" s="157">
        <f>T489+V489+W489</f>
        <v>5350554.9400000004</v>
      </c>
    </row>
    <row r="490" spans="1:28" s="116" customFormat="1" ht="19.5" customHeight="1" x14ac:dyDescent="0.25">
      <c r="A490" s="183" t="s">
        <v>377</v>
      </c>
      <c r="B490" s="183"/>
      <c r="C490" s="144"/>
      <c r="D490" s="167"/>
      <c r="E490" s="29">
        <f t="shared" ref="E490:W490" si="142">E487+E482</f>
        <v>0</v>
      </c>
      <c r="F490" s="29">
        <f t="shared" si="142"/>
        <v>0</v>
      </c>
      <c r="G490" s="19">
        <f t="shared" si="142"/>
        <v>0</v>
      </c>
      <c r="H490" s="28">
        <f t="shared" si="142"/>
        <v>0</v>
      </c>
      <c r="I490" s="28">
        <f t="shared" si="142"/>
        <v>0</v>
      </c>
      <c r="J490" s="28">
        <f t="shared" si="142"/>
        <v>0</v>
      </c>
      <c r="K490" s="28">
        <f t="shared" si="142"/>
        <v>0</v>
      </c>
      <c r="L490" s="28">
        <f t="shared" si="142"/>
        <v>0</v>
      </c>
      <c r="M490" s="28">
        <f t="shared" si="142"/>
        <v>0</v>
      </c>
      <c r="N490" s="28">
        <f t="shared" si="142"/>
        <v>0</v>
      </c>
      <c r="O490" s="28">
        <f t="shared" si="142"/>
        <v>0</v>
      </c>
      <c r="P490" s="28">
        <f t="shared" si="142"/>
        <v>0</v>
      </c>
      <c r="Q490" s="28">
        <f t="shared" si="142"/>
        <v>0</v>
      </c>
      <c r="R490" s="28">
        <f t="shared" si="142"/>
        <v>0</v>
      </c>
      <c r="S490" s="28">
        <f t="shared" si="142"/>
        <v>0</v>
      </c>
      <c r="T490" s="28">
        <f t="shared" si="142"/>
        <v>0</v>
      </c>
      <c r="U490" s="28">
        <f t="shared" si="142"/>
        <v>0</v>
      </c>
      <c r="V490" s="28">
        <f t="shared" si="142"/>
        <v>0</v>
      </c>
      <c r="W490" s="19">
        <f t="shared" si="142"/>
        <v>0</v>
      </c>
      <c r="X490" s="20" t="s">
        <v>368</v>
      </c>
      <c r="Y490" s="20" t="s">
        <v>368</v>
      </c>
      <c r="Z490" s="156"/>
      <c r="AA490" s="156"/>
    </row>
    <row r="491" spans="1:28" s="116" customFormat="1" ht="19.5" customHeight="1" x14ac:dyDescent="0.25">
      <c r="A491" s="183" t="s">
        <v>297</v>
      </c>
      <c r="B491" s="183"/>
      <c r="C491" s="144"/>
      <c r="D491" s="167"/>
      <c r="E491" s="29">
        <f t="shared" ref="E491:W491" si="143">E488+E483</f>
        <v>7861.8</v>
      </c>
      <c r="F491" s="29">
        <f t="shared" si="143"/>
        <v>7010.9</v>
      </c>
      <c r="G491" s="19">
        <f t="shared" si="143"/>
        <v>2169750</v>
      </c>
      <c r="H491" s="28">
        <f t="shared" si="143"/>
        <v>2169750</v>
      </c>
      <c r="I491" s="28">
        <f t="shared" si="143"/>
        <v>0</v>
      </c>
      <c r="J491" s="28">
        <f t="shared" si="143"/>
        <v>0</v>
      </c>
      <c r="K491" s="28">
        <f t="shared" si="143"/>
        <v>0</v>
      </c>
      <c r="L491" s="28">
        <f t="shared" si="143"/>
        <v>0</v>
      </c>
      <c r="M491" s="28">
        <f t="shared" si="143"/>
        <v>0</v>
      </c>
      <c r="N491" s="28">
        <f t="shared" si="143"/>
        <v>0</v>
      </c>
      <c r="O491" s="28">
        <f t="shared" si="143"/>
        <v>0</v>
      </c>
      <c r="P491" s="28">
        <f t="shared" si="143"/>
        <v>0</v>
      </c>
      <c r="Q491" s="28">
        <f t="shared" si="143"/>
        <v>0</v>
      </c>
      <c r="R491" s="28">
        <f t="shared" si="143"/>
        <v>0</v>
      </c>
      <c r="S491" s="28">
        <f t="shared" si="143"/>
        <v>0</v>
      </c>
      <c r="T491" s="28">
        <f t="shared" si="143"/>
        <v>0</v>
      </c>
      <c r="U491" s="28">
        <f t="shared" si="143"/>
        <v>0</v>
      </c>
      <c r="V491" s="28">
        <f t="shared" si="143"/>
        <v>0</v>
      </c>
      <c r="W491" s="19">
        <f t="shared" si="143"/>
        <v>2169750</v>
      </c>
      <c r="X491" s="20" t="s">
        <v>368</v>
      </c>
      <c r="Y491" s="20" t="s">
        <v>368</v>
      </c>
      <c r="Z491" s="156"/>
      <c r="AA491" s="156"/>
    </row>
    <row r="492" spans="1:28" s="116" customFormat="1" ht="19.5" customHeight="1" x14ac:dyDescent="0.25">
      <c r="A492" s="183" t="s">
        <v>378</v>
      </c>
      <c r="B492" s="183"/>
      <c r="C492" s="144"/>
      <c r="D492" s="167"/>
      <c r="E492" s="29">
        <f>E484+E489</f>
        <v>10902</v>
      </c>
      <c r="F492" s="29">
        <f t="shared" ref="F492:W492" si="144">F484+F489</f>
        <v>9592.2000000000007</v>
      </c>
      <c r="G492" s="19">
        <f t="shared" si="144"/>
        <v>7444477.540000001</v>
      </c>
      <c r="H492" s="19">
        <f t="shared" si="144"/>
        <v>3423096.6000000006</v>
      </c>
      <c r="I492" s="19">
        <f t="shared" si="144"/>
        <v>343.35821859419815</v>
      </c>
      <c r="J492" s="19">
        <f t="shared" si="144"/>
        <v>4021380.94</v>
      </c>
      <c r="K492" s="19">
        <f t="shared" si="144"/>
        <v>0</v>
      </c>
      <c r="L492" s="19">
        <f t="shared" si="144"/>
        <v>0</v>
      </c>
      <c r="M492" s="19">
        <f t="shared" si="144"/>
        <v>0</v>
      </c>
      <c r="N492" s="19">
        <f t="shared" si="144"/>
        <v>0</v>
      </c>
      <c r="O492" s="19">
        <f t="shared" si="144"/>
        <v>0</v>
      </c>
      <c r="P492" s="19">
        <f t="shared" si="144"/>
        <v>0</v>
      </c>
      <c r="Q492" s="19">
        <f t="shared" si="144"/>
        <v>0</v>
      </c>
      <c r="R492" s="19">
        <f t="shared" si="144"/>
        <v>0</v>
      </c>
      <c r="S492" s="19">
        <f t="shared" si="144"/>
        <v>0</v>
      </c>
      <c r="T492" s="19">
        <f t="shared" si="144"/>
        <v>0</v>
      </c>
      <c r="U492" s="19">
        <f t="shared" si="144"/>
        <v>0</v>
      </c>
      <c r="V492" s="19">
        <f t="shared" si="144"/>
        <v>0</v>
      </c>
      <c r="W492" s="19">
        <f t="shared" si="144"/>
        <v>7444477.540000001</v>
      </c>
      <c r="X492" s="20" t="s">
        <v>368</v>
      </c>
      <c r="Y492" s="20" t="s">
        <v>368</v>
      </c>
      <c r="Z492" s="156"/>
      <c r="AA492" s="156"/>
      <c r="AB492" s="157">
        <f>T492+V492+W492</f>
        <v>7444477.540000001</v>
      </c>
    </row>
    <row r="493" spans="1:28" s="116" customFormat="1" ht="17.25" customHeight="1" x14ac:dyDescent="0.25">
      <c r="A493" s="182" t="s">
        <v>263</v>
      </c>
      <c r="B493" s="182"/>
      <c r="C493" s="182"/>
      <c r="D493" s="182"/>
      <c r="E493" s="182"/>
      <c r="F493" s="182"/>
      <c r="G493" s="182"/>
      <c r="H493" s="182"/>
      <c r="I493" s="182"/>
      <c r="J493" s="182"/>
      <c r="K493" s="182"/>
      <c r="L493" s="182"/>
      <c r="M493" s="182"/>
      <c r="N493" s="182"/>
      <c r="O493" s="182"/>
      <c r="P493" s="182"/>
      <c r="Q493" s="182"/>
      <c r="R493" s="182"/>
      <c r="S493" s="182"/>
      <c r="T493" s="182"/>
      <c r="U493" s="182"/>
      <c r="V493" s="182"/>
      <c r="W493" s="182"/>
      <c r="X493" s="165"/>
      <c r="Y493" s="165"/>
      <c r="Z493" s="156"/>
      <c r="AA493" s="156"/>
    </row>
    <row r="494" spans="1:28" s="116" customFormat="1" ht="17.25" customHeight="1" x14ac:dyDescent="0.25">
      <c r="A494" s="182" t="s">
        <v>264</v>
      </c>
      <c r="B494" s="182"/>
      <c r="C494" s="182"/>
      <c r="D494" s="182"/>
      <c r="E494" s="182"/>
      <c r="F494" s="182"/>
      <c r="G494" s="182"/>
      <c r="H494" s="182"/>
      <c r="I494" s="182"/>
      <c r="J494" s="182"/>
      <c r="K494" s="182"/>
      <c r="L494" s="182"/>
      <c r="M494" s="182"/>
      <c r="N494" s="182"/>
      <c r="O494" s="182"/>
      <c r="P494" s="182"/>
      <c r="Q494" s="182"/>
      <c r="R494" s="182"/>
      <c r="S494" s="182"/>
      <c r="T494" s="182"/>
      <c r="U494" s="182"/>
      <c r="V494" s="182"/>
      <c r="W494" s="182"/>
      <c r="X494" s="165"/>
      <c r="Y494" s="165"/>
      <c r="Z494" s="156"/>
      <c r="AA494" s="156"/>
    </row>
    <row r="495" spans="1:28" s="118" customFormat="1" ht="18" customHeight="1" x14ac:dyDescent="0.25">
      <c r="A495" s="165">
        <f>A486+1</f>
        <v>360</v>
      </c>
      <c r="B495" s="24" t="s">
        <v>265</v>
      </c>
      <c r="C495" s="142" t="s">
        <v>207</v>
      </c>
      <c r="D495" s="165"/>
      <c r="E495" s="45">
        <v>1424.2</v>
      </c>
      <c r="F495" s="45">
        <v>1300.5</v>
      </c>
      <c r="G495" s="42">
        <f>SUM(H495:S495)</f>
        <v>418800</v>
      </c>
      <c r="H495" s="35">
        <v>418800</v>
      </c>
      <c r="I495" s="35"/>
      <c r="J495" s="35">
        <v>0</v>
      </c>
      <c r="K495" s="35">
        <v>0</v>
      </c>
      <c r="L495" s="35"/>
      <c r="M495" s="35">
        <v>0</v>
      </c>
      <c r="N495" s="35"/>
      <c r="O495" s="35">
        <v>0</v>
      </c>
      <c r="P495" s="35"/>
      <c r="Q495" s="35">
        <v>0</v>
      </c>
      <c r="R495" s="35"/>
      <c r="S495" s="35">
        <v>0</v>
      </c>
      <c r="T495" s="35">
        <v>0</v>
      </c>
      <c r="U495" s="35">
        <v>0</v>
      </c>
      <c r="V495" s="35">
        <v>0</v>
      </c>
      <c r="W495" s="42">
        <f t="shared" ref="W495:W502" si="145">G495</f>
        <v>418800</v>
      </c>
      <c r="X495" s="165">
        <v>2015</v>
      </c>
      <c r="Y495" s="165">
        <v>2015</v>
      </c>
      <c r="Z495" s="155"/>
      <c r="AA495" s="156"/>
    </row>
    <row r="496" spans="1:28" s="118" customFormat="1" ht="18" customHeight="1" x14ac:dyDescent="0.25">
      <c r="A496" s="165">
        <f>A495+1</f>
        <v>361</v>
      </c>
      <c r="B496" s="24" t="s">
        <v>266</v>
      </c>
      <c r="C496" s="142" t="s">
        <v>207</v>
      </c>
      <c r="D496" s="165"/>
      <c r="E496" s="45">
        <v>1426.6</v>
      </c>
      <c r="F496" s="45">
        <v>1293.5</v>
      </c>
      <c r="G496" s="42">
        <f>SUM(H496:S496)</f>
        <v>418800</v>
      </c>
      <c r="H496" s="35">
        <v>418800</v>
      </c>
      <c r="I496" s="35"/>
      <c r="J496" s="35">
        <v>0</v>
      </c>
      <c r="K496" s="35">
        <v>0</v>
      </c>
      <c r="L496" s="35"/>
      <c r="M496" s="35">
        <v>0</v>
      </c>
      <c r="N496" s="35"/>
      <c r="O496" s="35">
        <v>0</v>
      </c>
      <c r="P496" s="35"/>
      <c r="Q496" s="35">
        <v>0</v>
      </c>
      <c r="R496" s="35"/>
      <c r="S496" s="35">
        <v>0</v>
      </c>
      <c r="T496" s="35">
        <v>0</v>
      </c>
      <c r="U496" s="35">
        <v>0</v>
      </c>
      <c r="V496" s="35">
        <v>0</v>
      </c>
      <c r="W496" s="42">
        <f t="shared" si="145"/>
        <v>418800</v>
      </c>
      <c r="X496" s="165">
        <v>2015</v>
      </c>
      <c r="Y496" s="165">
        <v>2015</v>
      </c>
      <c r="Z496" s="155"/>
      <c r="AA496" s="156"/>
    </row>
    <row r="497" spans="1:28" s="118" customFormat="1" ht="18" customHeight="1" x14ac:dyDescent="0.25">
      <c r="A497" s="165">
        <f t="shared" ref="A497:A502" si="146">A496+1</f>
        <v>362</v>
      </c>
      <c r="B497" s="24" t="s">
        <v>267</v>
      </c>
      <c r="C497" s="142" t="s">
        <v>207</v>
      </c>
      <c r="D497" s="165"/>
      <c r="E497" s="45">
        <v>1429.5</v>
      </c>
      <c r="F497" s="45">
        <v>1292.7</v>
      </c>
      <c r="G497" s="42">
        <f>SUM(H497:S497)</f>
        <v>418800</v>
      </c>
      <c r="H497" s="35">
        <v>418800</v>
      </c>
      <c r="I497" s="35"/>
      <c r="J497" s="35">
        <v>0</v>
      </c>
      <c r="K497" s="35">
        <v>0</v>
      </c>
      <c r="L497" s="35"/>
      <c r="M497" s="35">
        <v>0</v>
      </c>
      <c r="N497" s="35"/>
      <c r="O497" s="35">
        <v>0</v>
      </c>
      <c r="P497" s="35"/>
      <c r="Q497" s="35">
        <v>0</v>
      </c>
      <c r="R497" s="35"/>
      <c r="S497" s="35">
        <v>0</v>
      </c>
      <c r="T497" s="35">
        <v>0</v>
      </c>
      <c r="U497" s="35">
        <v>0</v>
      </c>
      <c r="V497" s="35">
        <v>0</v>
      </c>
      <c r="W497" s="42">
        <f t="shared" si="145"/>
        <v>418800</v>
      </c>
      <c r="X497" s="165">
        <v>2015</v>
      </c>
      <c r="Y497" s="165">
        <v>2015</v>
      </c>
      <c r="Z497" s="155"/>
      <c r="AA497" s="155"/>
    </row>
    <row r="498" spans="1:28" s="118" customFormat="1" ht="18" customHeight="1" x14ac:dyDescent="0.25">
      <c r="A498" s="165">
        <f>A497+1</f>
        <v>363</v>
      </c>
      <c r="B498" s="24" t="s">
        <v>268</v>
      </c>
      <c r="C498" s="142" t="s">
        <v>216</v>
      </c>
      <c r="D498" s="165"/>
      <c r="E498" s="45">
        <v>1375.6</v>
      </c>
      <c r="F498" s="45">
        <v>1119.2</v>
      </c>
      <c r="G498" s="42">
        <f t="shared" ref="G498:G502" si="147">H498+J498+K498+M498+O498+Q498+S498</f>
        <v>1141525.43</v>
      </c>
      <c r="H498" s="35">
        <v>1141525.43</v>
      </c>
      <c r="I498" s="35">
        <f>H498/F498</f>
        <v>1019.9476679771265</v>
      </c>
      <c r="J498" s="35">
        <v>0</v>
      </c>
      <c r="K498" s="35">
        <v>0</v>
      </c>
      <c r="L498" s="35"/>
      <c r="M498" s="35">
        <v>0</v>
      </c>
      <c r="N498" s="35"/>
      <c r="O498" s="35">
        <v>0</v>
      </c>
      <c r="P498" s="35"/>
      <c r="Q498" s="35">
        <v>0</v>
      </c>
      <c r="R498" s="35"/>
      <c r="S498" s="35">
        <v>0</v>
      </c>
      <c r="T498" s="35">
        <v>0</v>
      </c>
      <c r="U498" s="35">
        <v>0</v>
      </c>
      <c r="V498" s="35">
        <v>0</v>
      </c>
      <c r="W498" s="42">
        <f t="shared" si="145"/>
        <v>1141525.43</v>
      </c>
      <c r="X498" s="165">
        <v>2015</v>
      </c>
      <c r="Y498" s="165">
        <v>2016</v>
      </c>
      <c r="Z498" s="155">
        <f>Z486+1</f>
        <v>190</v>
      </c>
      <c r="AA498" s="155">
        <f>AA486+1</f>
        <v>1</v>
      </c>
    </row>
    <row r="499" spans="1:28" s="118" customFormat="1" ht="18" customHeight="1" x14ac:dyDescent="0.25">
      <c r="A499" s="165">
        <f t="shared" si="146"/>
        <v>364</v>
      </c>
      <c r="B499" s="24" t="s">
        <v>269</v>
      </c>
      <c r="C499" s="142" t="s">
        <v>252</v>
      </c>
      <c r="D499" s="165"/>
      <c r="E499" s="45">
        <v>4524.1000000000004</v>
      </c>
      <c r="F499" s="45">
        <v>4070.5</v>
      </c>
      <c r="G499" s="42">
        <f t="shared" si="147"/>
        <v>2818655</v>
      </c>
      <c r="H499" s="35">
        <v>2757734.05</v>
      </c>
      <c r="I499" s="35">
        <f>H499/F499</f>
        <v>677.49270359906643</v>
      </c>
      <c r="J499" s="35">
        <v>0</v>
      </c>
      <c r="K499" s="35">
        <v>0</v>
      </c>
      <c r="L499" s="35"/>
      <c r="M499" s="35">
        <v>60920.95</v>
      </c>
      <c r="N499" s="35">
        <f>M499/F499</f>
        <v>14.966453752610244</v>
      </c>
      <c r="O499" s="35">
        <v>0</v>
      </c>
      <c r="P499" s="35"/>
      <c r="Q499" s="35">
        <v>0</v>
      </c>
      <c r="R499" s="35"/>
      <c r="S499" s="35">
        <v>0</v>
      </c>
      <c r="T499" s="35">
        <v>0</v>
      </c>
      <c r="U499" s="35">
        <v>0</v>
      </c>
      <c r="V499" s="35">
        <v>0</v>
      </c>
      <c r="W499" s="42">
        <f t="shared" si="145"/>
        <v>2818655</v>
      </c>
      <c r="X499" s="165">
        <v>2015</v>
      </c>
      <c r="Y499" s="165">
        <v>2016</v>
      </c>
      <c r="Z499" s="155">
        <f t="shared" ref="Z499:AA502" si="148">Z498+1</f>
        <v>191</v>
      </c>
      <c r="AA499" s="155">
        <f t="shared" si="148"/>
        <v>2</v>
      </c>
    </row>
    <row r="500" spans="1:28" s="118" customFormat="1" ht="18" customHeight="1" x14ac:dyDescent="0.25">
      <c r="A500" s="165">
        <f t="shared" si="146"/>
        <v>365</v>
      </c>
      <c r="B500" s="24" t="s">
        <v>385</v>
      </c>
      <c r="C500" s="142">
        <v>1983</v>
      </c>
      <c r="D500" s="165"/>
      <c r="E500" s="45">
        <v>17662.8</v>
      </c>
      <c r="F500" s="45">
        <v>14158.5</v>
      </c>
      <c r="G500" s="42">
        <f t="shared" si="147"/>
        <v>6998063.7000000002</v>
      </c>
      <c r="H500" s="35">
        <v>0</v>
      </c>
      <c r="I500" s="35"/>
      <c r="J500" s="42">
        <v>6998063.7000000002</v>
      </c>
      <c r="K500" s="35">
        <v>0</v>
      </c>
      <c r="L500" s="35"/>
      <c r="M500" s="35">
        <v>0</v>
      </c>
      <c r="N500" s="35"/>
      <c r="O500" s="35">
        <v>0</v>
      </c>
      <c r="P500" s="35"/>
      <c r="Q500" s="35">
        <v>0</v>
      </c>
      <c r="R500" s="35"/>
      <c r="S500" s="35">
        <v>0</v>
      </c>
      <c r="T500" s="35">
        <v>0</v>
      </c>
      <c r="U500" s="35">
        <v>0</v>
      </c>
      <c r="V500" s="35">
        <v>0</v>
      </c>
      <c r="W500" s="42">
        <f t="shared" si="145"/>
        <v>6998063.7000000002</v>
      </c>
      <c r="X500" s="165">
        <v>2016</v>
      </c>
      <c r="Y500" s="165">
        <v>2016</v>
      </c>
      <c r="Z500" s="155">
        <f t="shared" si="148"/>
        <v>192</v>
      </c>
      <c r="AA500" s="155">
        <f t="shared" si="148"/>
        <v>3</v>
      </c>
    </row>
    <row r="501" spans="1:28" s="118" customFormat="1" ht="18" customHeight="1" x14ac:dyDescent="0.25">
      <c r="A501" s="165">
        <f t="shared" si="146"/>
        <v>366</v>
      </c>
      <c r="B501" s="24" t="s">
        <v>270</v>
      </c>
      <c r="C501" s="142" t="s">
        <v>271</v>
      </c>
      <c r="D501" s="165"/>
      <c r="E501" s="45">
        <v>4244.5</v>
      </c>
      <c r="F501" s="45">
        <v>3414.2</v>
      </c>
      <c r="G501" s="42">
        <f t="shared" si="147"/>
        <v>4511110.66</v>
      </c>
      <c r="H501" s="35">
        <v>4511110.66</v>
      </c>
      <c r="I501" s="35">
        <f>H501/F501</f>
        <v>1321.2789701833519</v>
      </c>
      <c r="J501" s="35">
        <v>0</v>
      </c>
      <c r="K501" s="35">
        <v>0</v>
      </c>
      <c r="L501" s="35"/>
      <c r="M501" s="35">
        <v>0</v>
      </c>
      <c r="N501" s="35"/>
      <c r="O501" s="35">
        <v>0</v>
      </c>
      <c r="P501" s="35"/>
      <c r="Q501" s="35">
        <v>0</v>
      </c>
      <c r="R501" s="35"/>
      <c r="S501" s="35">
        <v>0</v>
      </c>
      <c r="T501" s="35">
        <v>0</v>
      </c>
      <c r="U501" s="35">
        <v>0</v>
      </c>
      <c r="V501" s="35">
        <v>0</v>
      </c>
      <c r="W501" s="42">
        <f t="shared" si="145"/>
        <v>4511110.66</v>
      </c>
      <c r="X501" s="165">
        <v>2015</v>
      </c>
      <c r="Y501" s="165">
        <v>2016</v>
      </c>
      <c r="Z501" s="155">
        <f t="shared" si="148"/>
        <v>193</v>
      </c>
      <c r="AA501" s="155">
        <f t="shared" si="148"/>
        <v>4</v>
      </c>
    </row>
    <row r="502" spans="1:28" s="118" customFormat="1" ht="18" customHeight="1" x14ac:dyDescent="0.25">
      <c r="A502" s="165">
        <f t="shared" si="146"/>
        <v>367</v>
      </c>
      <c r="B502" s="24" t="s">
        <v>407</v>
      </c>
      <c r="C502" s="142">
        <v>1988</v>
      </c>
      <c r="D502" s="165"/>
      <c r="E502" s="45">
        <v>4612.3</v>
      </c>
      <c r="F502" s="45">
        <v>3756.7</v>
      </c>
      <c r="G502" s="42">
        <f t="shared" si="147"/>
        <v>3499031.85</v>
      </c>
      <c r="H502" s="35">
        <v>0</v>
      </c>
      <c r="I502" s="35"/>
      <c r="J502" s="42">
        <v>3499031.85</v>
      </c>
      <c r="K502" s="35">
        <v>0</v>
      </c>
      <c r="L502" s="35"/>
      <c r="M502" s="35">
        <v>0</v>
      </c>
      <c r="N502" s="35"/>
      <c r="O502" s="35">
        <v>0</v>
      </c>
      <c r="P502" s="35"/>
      <c r="Q502" s="35">
        <v>0</v>
      </c>
      <c r="R502" s="35"/>
      <c r="S502" s="35">
        <v>0</v>
      </c>
      <c r="T502" s="35">
        <v>0</v>
      </c>
      <c r="U502" s="35">
        <v>0</v>
      </c>
      <c r="V502" s="35">
        <v>0</v>
      </c>
      <c r="W502" s="42">
        <f t="shared" si="145"/>
        <v>3499031.85</v>
      </c>
      <c r="X502" s="165">
        <v>2016</v>
      </c>
      <c r="Y502" s="165">
        <v>2016</v>
      </c>
      <c r="Z502" s="155">
        <f t="shared" si="148"/>
        <v>194</v>
      </c>
      <c r="AA502" s="155">
        <f t="shared" si="148"/>
        <v>5</v>
      </c>
    </row>
    <row r="503" spans="1:28" s="116" customFormat="1" ht="19.5" customHeight="1" x14ac:dyDescent="0.25">
      <c r="A503" s="185" t="s">
        <v>173</v>
      </c>
      <c r="B503" s="186"/>
      <c r="C503" s="147"/>
      <c r="D503" s="64"/>
      <c r="E503" s="28">
        <v>0</v>
      </c>
      <c r="F503" s="28">
        <v>0</v>
      </c>
      <c r="G503" s="19">
        <v>0</v>
      </c>
      <c r="H503" s="28">
        <v>0</v>
      </c>
      <c r="I503" s="28"/>
      <c r="J503" s="28">
        <v>0</v>
      </c>
      <c r="K503" s="28">
        <v>0</v>
      </c>
      <c r="L503" s="28"/>
      <c r="M503" s="28">
        <v>0</v>
      </c>
      <c r="N503" s="28"/>
      <c r="O503" s="28">
        <v>0</v>
      </c>
      <c r="P503" s="28"/>
      <c r="Q503" s="28">
        <v>0</v>
      </c>
      <c r="R503" s="28"/>
      <c r="S503" s="28">
        <v>0</v>
      </c>
      <c r="T503" s="28">
        <v>0</v>
      </c>
      <c r="U503" s="28">
        <v>0</v>
      </c>
      <c r="V503" s="28">
        <v>0</v>
      </c>
      <c r="W503" s="19">
        <v>0</v>
      </c>
      <c r="X503" s="20" t="s">
        <v>368</v>
      </c>
      <c r="Y503" s="20" t="s">
        <v>368</v>
      </c>
      <c r="Z503" s="156"/>
      <c r="AA503" s="155"/>
    </row>
    <row r="504" spans="1:28" s="116" customFormat="1" ht="19.5" customHeight="1" x14ac:dyDescent="0.25">
      <c r="A504" s="183" t="s">
        <v>171</v>
      </c>
      <c r="B504" s="183"/>
      <c r="C504" s="144"/>
      <c r="D504" s="167"/>
      <c r="E504" s="29">
        <f>SUM(E495:E497)</f>
        <v>4280.3</v>
      </c>
      <c r="F504" s="29">
        <f>SUM(F495:F497)</f>
        <v>3886.7</v>
      </c>
      <c r="G504" s="19">
        <f t="shared" ref="G504:W504" si="149">SUM(G495:G497)</f>
        <v>1256400</v>
      </c>
      <c r="H504" s="28">
        <f t="shared" si="149"/>
        <v>1256400</v>
      </c>
      <c r="I504" s="28"/>
      <c r="J504" s="28">
        <f t="shared" si="149"/>
        <v>0</v>
      </c>
      <c r="K504" s="28">
        <f t="shared" si="149"/>
        <v>0</v>
      </c>
      <c r="L504" s="28"/>
      <c r="M504" s="28">
        <f t="shared" si="149"/>
        <v>0</v>
      </c>
      <c r="N504" s="28"/>
      <c r="O504" s="28">
        <f t="shared" si="149"/>
        <v>0</v>
      </c>
      <c r="P504" s="28"/>
      <c r="Q504" s="28">
        <f t="shared" si="149"/>
        <v>0</v>
      </c>
      <c r="R504" s="28"/>
      <c r="S504" s="28">
        <f t="shared" si="149"/>
        <v>0</v>
      </c>
      <c r="T504" s="28">
        <f t="shared" si="149"/>
        <v>0</v>
      </c>
      <c r="U504" s="28">
        <f t="shared" si="149"/>
        <v>0</v>
      </c>
      <c r="V504" s="28">
        <f t="shared" si="149"/>
        <v>0</v>
      </c>
      <c r="W504" s="19">
        <f t="shared" si="149"/>
        <v>1256400</v>
      </c>
      <c r="X504" s="167" t="s">
        <v>368</v>
      </c>
      <c r="Y504" s="167" t="s">
        <v>368</v>
      </c>
      <c r="Z504" s="156"/>
      <c r="AA504" s="155"/>
    </row>
    <row r="505" spans="1:28" s="116" customFormat="1" ht="19.5" customHeight="1" x14ac:dyDescent="0.25">
      <c r="A505" s="183" t="s">
        <v>172</v>
      </c>
      <c r="B505" s="183"/>
      <c r="C505" s="144"/>
      <c r="D505" s="167"/>
      <c r="E505" s="29">
        <f>SUM(E498:E502)</f>
        <v>32419.3</v>
      </c>
      <c r="F505" s="29">
        <f t="shared" ref="F505:W505" si="150">SUM(F498:F502)</f>
        <v>26519.100000000002</v>
      </c>
      <c r="G505" s="19">
        <f t="shared" si="150"/>
        <v>18968386.640000001</v>
      </c>
      <c r="H505" s="28">
        <f t="shared" si="150"/>
        <v>8410370.1400000006</v>
      </c>
      <c r="I505" s="28">
        <f t="shared" si="150"/>
        <v>3018.7193417595445</v>
      </c>
      <c r="J505" s="28">
        <f t="shared" si="150"/>
        <v>10497095.550000001</v>
      </c>
      <c r="K505" s="28">
        <f t="shared" si="150"/>
        <v>0</v>
      </c>
      <c r="L505" s="28">
        <f t="shared" si="150"/>
        <v>0</v>
      </c>
      <c r="M505" s="28">
        <f t="shared" si="150"/>
        <v>60920.95</v>
      </c>
      <c r="N505" s="28">
        <f t="shared" si="150"/>
        <v>14.966453752610244</v>
      </c>
      <c r="O505" s="28">
        <f t="shared" si="150"/>
        <v>0</v>
      </c>
      <c r="P505" s="28">
        <f t="shared" si="150"/>
        <v>0</v>
      </c>
      <c r="Q505" s="28">
        <f t="shared" si="150"/>
        <v>0</v>
      </c>
      <c r="R505" s="28">
        <f t="shared" si="150"/>
        <v>0</v>
      </c>
      <c r="S505" s="28">
        <f t="shared" si="150"/>
        <v>0</v>
      </c>
      <c r="T505" s="28">
        <f t="shared" si="150"/>
        <v>0</v>
      </c>
      <c r="U505" s="28">
        <f t="shared" si="150"/>
        <v>0</v>
      </c>
      <c r="V505" s="28">
        <f t="shared" si="150"/>
        <v>0</v>
      </c>
      <c r="W505" s="19">
        <f t="shared" si="150"/>
        <v>18968386.640000001</v>
      </c>
      <c r="X505" s="20" t="s">
        <v>368</v>
      </c>
      <c r="Y505" s="20" t="s">
        <v>368</v>
      </c>
      <c r="Z505" s="156"/>
      <c r="AA505" s="156"/>
      <c r="AB505" s="157">
        <f>T505+V505+W505</f>
        <v>18968386.640000001</v>
      </c>
    </row>
    <row r="506" spans="1:28" s="116" customFormat="1" ht="17.25" customHeight="1" x14ac:dyDescent="0.25">
      <c r="A506" s="182" t="s">
        <v>272</v>
      </c>
      <c r="B506" s="182"/>
      <c r="C506" s="182"/>
      <c r="D506" s="182"/>
      <c r="E506" s="182"/>
      <c r="F506" s="182"/>
      <c r="G506" s="182"/>
      <c r="H506" s="182"/>
      <c r="I506" s="182"/>
      <c r="J506" s="182"/>
      <c r="K506" s="182"/>
      <c r="L506" s="182"/>
      <c r="M506" s="182"/>
      <c r="N506" s="182"/>
      <c r="O506" s="182"/>
      <c r="P506" s="182"/>
      <c r="Q506" s="182"/>
      <c r="R506" s="182"/>
      <c r="S506" s="182"/>
      <c r="T506" s="182"/>
      <c r="U506" s="182"/>
      <c r="V506" s="182"/>
      <c r="W506" s="182"/>
      <c r="X506" s="165"/>
      <c r="Y506" s="165"/>
      <c r="Z506" s="156"/>
      <c r="AA506" s="156"/>
    </row>
    <row r="507" spans="1:28" s="118" customFormat="1" ht="18" customHeight="1" x14ac:dyDescent="0.3">
      <c r="A507" s="165">
        <f>A502+1</f>
        <v>368</v>
      </c>
      <c r="B507" s="24" t="s">
        <v>273</v>
      </c>
      <c r="C507" s="142" t="s">
        <v>274</v>
      </c>
      <c r="D507" s="165"/>
      <c r="E507" s="96">
        <v>17124.400000000001</v>
      </c>
      <c r="F507" s="96">
        <v>13741.8</v>
      </c>
      <c r="G507" s="42">
        <f t="shared" ref="G507:G517" si="151">SUM(H507:S507)</f>
        <v>1482000</v>
      </c>
      <c r="H507" s="35">
        <v>1482000</v>
      </c>
      <c r="I507" s="35"/>
      <c r="J507" s="35">
        <v>0</v>
      </c>
      <c r="K507" s="35">
        <v>0</v>
      </c>
      <c r="L507" s="35"/>
      <c r="M507" s="35">
        <v>0</v>
      </c>
      <c r="N507" s="35"/>
      <c r="O507" s="35">
        <v>0</v>
      </c>
      <c r="P507" s="35"/>
      <c r="Q507" s="35">
        <v>0</v>
      </c>
      <c r="R507" s="35"/>
      <c r="S507" s="35">
        <v>0</v>
      </c>
      <c r="T507" s="35">
        <v>0</v>
      </c>
      <c r="U507" s="35">
        <v>0</v>
      </c>
      <c r="V507" s="35">
        <v>0</v>
      </c>
      <c r="W507" s="42">
        <f t="shared" ref="W507:W520" si="152">G507</f>
        <v>1482000</v>
      </c>
      <c r="X507" s="165">
        <v>2015</v>
      </c>
      <c r="Y507" s="165">
        <v>2015</v>
      </c>
      <c r="Z507" s="155"/>
      <c r="AA507" s="156"/>
    </row>
    <row r="508" spans="1:28" s="118" customFormat="1" ht="18" customHeight="1" x14ac:dyDescent="0.3">
      <c r="A508" s="165">
        <f>A507+1</f>
        <v>369</v>
      </c>
      <c r="B508" s="24" t="s">
        <v>275</v>
      </c>
      <c r="C508" s="142" t="s">
        <v>276</v>
      </c>
      <c r="D508" s="165"/>
      <c r="E508" s="96">
        <v>17264.3</v>
      </c>
      <c r="F508" s="96">
        <v>13765.8</v>
      </c>
      <c r="G508" s="42">
        <f t="shared" si="151"/>
        <v>1491000</v>
      </c>
      <c r="H508" s="35">
        <v>1491000</v>
      </c>
      <c r="I508" s="35"/>
      <c r="J508" s="35">
        <v>0</v>
      </c>
      <c r="K508" s="35">
        <v>0</v>
      </c>
      <c r="L508" s="35"/>
      <c r="M508" s="35">
        <v>0</v>
      </c>
      <c r="N508" s="35"/>
      <c r="O508" s="35">
        <v>0</v>
      </c>
      <c r="P508" s="35"/>
      <c r="Q508" s="35">
        <v>0</v>
      </c>
      <c r="R508" s="35"/>
      <c r="S508" s="35">
        <v>0</v>
      </c>
      <c r="T508" s="35">
        <v>0</v>
      </c>
      <c r="U508" s="35">
        <v>0</v>
      </c>
      <c r="V508" s="35">
        <v>0</v>
      </c>
      <c r="W508" s="42">
        <f t="shared" si="152"/>
        <v>1491000</v>
      </c>
      <c r="X508" s="165">
        <v>2015</v>
      </c>
      <c r="Y508" s="165">
        <v>2015</v>
      </c>
      <c r="Z508" s="155"/>
      <c r="AA508" s="156"/>
    </row>
    <row r="509" spans="1:28" s="118" customFormat="1" ht="18" customHeight="1" x14ac:dyDescent="0.3">
      <c r="A509" s="165">
        <f t="shared" ref="A509:A520" si="153">A508+1</f>
        <v>370</v>
      </c>
      <c r="B509" s="24" t="s">
        <v>281</v>
      </c>
      <c r="C509" s="142" t="s">
        <v>282</v>
      </c>
      <c r="D509" s="165"/>
      <c r="E509" s="95">
        <v>4440.5</v>
      </c>
      <c r="F509" s="95">
        <v>3409.9</v>
      </c>
      <c r="G509" s="42">
        <f t="shared" si="151"/>
        <v>987640</v>
      </c>
      <c r="H509" s="35">
        <v>987640</v>
      </c>
      <c r="I509" s="35"/>
      <c r="J509" s="35">
        <v>0</v>
      </c>
      <c r="K509" s="35">
        <v>0</v>
      </c>
      <c r="L509" s="35"/>
      <c r="M509" s="35">
        <v>0</v>
      </c>
      <c r="N509" s="35"/>
      <c r="O509" s="35">
        <v>0</v>
      </c>
      <c r="P509" s="35"/>
      <c r="Q509" s="35">
        <v>0</v>
      </c>
      <c r="R509" s="35"/>
      <c r="S509" s="35">
        <v>0</v>
      </c>
      <c r="T509" s="35">
        <v>0</v>
      </c>
      <c r="U509" s="35">
        <v>0</v>
      </c>
      <c r="V509" s="35">
        <v>0</v>
      </c>
      <c r="W509" s="42">
        <f t="shared" si="152"/>
        <v>987640</v>
      </c>
      <c r="X509" s="165">
        <v>2015</v>
      </c>
      <c r="Y509" s="165">
        <v>2015</v>
      </c>
      <c r="Z509" s="155"/>
      <c r="AA509" s="155"/>
    </row>
    <row r="510" spans="1:28" s="118" customFormat="1" ht="18" customHeight="1" x14ac:dyDescent="0.3">
      <c r="A510" s="165">
        <f t="shared" si="153"/>
        <v>371</v>
      </c>
      <c r="B510" s="24" t="s">
        <v>283</v>
      </c>
      <c r="C510" s="142" t="s">
        <v>284</v>
      </c>
      <c r="D510" s="165"/>
      <c r="E510" s="45">
        <f>4438.5</f>
        <v>4438.5</v>
      </c>
      <c r="F510" s="95">
        <v>3436.3</v>
      </c>
      <c r="G510" s="42">
        <f t="shared" si="151"/>
        <v>1057240</v>
      </c>
      <c r="H510" s="35">
        <v>1057240</v>
      </c>
      <c r="I510" s="35"/>
      <c r="J510" s="35">
        <v>0</v>
      </c>
      <c r="K510" s="35">
        <v>0</v>
      </c>
      <c r="L510" s="35"/>
      <c r="M510" s="35">
        <v>0</v>
      </c>
      <c r="N510" s="35"/>
      <c r="O510" s="35">
        <v>0</v>
      </c>
      <c r="P510" s="35"/>
      <c r="Q510" s="35">
        <v>0</v>
      </c>
      <c r="R510" s="35"/>
      <c r="S510" s="35">
        <v>0</v>
      </c>
      <c r="T510" s="35">
        <v>0</v>
      </c>
      <c r="U510" s="35">
        <v>0</v>
      </c>
      <c r="V510" s="35">
        <v>0</v>
      </c>
      <c r="W510" s="42">
        <f t="shared" si="152"/>
        <v>1057240</v>
      </c>
      <c r="X510" s="165">
        <v>2015</v>
      </c>
      <c r="Y510" s="165">
        <v>2015</v>
      </c>
      <c r="Z510" s="155"/>
      <c r="AA510" s="155"/>
    </row>
    <row r="511" spans="1:28" s="118" customFormat="1" ht="18" customHeight="1" x14ac:dyDescent="0.3">
      <c r="A511" s="165">
        <f t="shared" si="153"/>
        <v>372</v>
      </c>
      <c r="B511" s="24" t="s">
        <v>279</v>
      </c>
      <c r="C511" s="142" t="s">
        <v>280</v>
      </c>
      <c r="D511" s="165"/>
      <c r="E511" s="95">
        <v>3212.7</v>
      </c>
      <c r="F511" s="95">
        <v>2518.6999999999998</v>
      </c>
      <c r="G511" s="42">
        <f t="shared" si="151"/>
        <v>1688500</v>
      </c>
      <c r="H511" s="35">
        <v>1688500</v>
      </c>
      <c r="I511" s="35"/>
      <c r="J511" s="35">
        <v>0</v>
      </c>
      <c r="K511" s="35">
        <v>0</v>
      </c>
      <c r="L511" s="35"/>
      <c r="M511" s="35">
        <v>0</v>
      </c>
      <c r="N511" s="35"/>
      <c r="O511" s="35">
        <v>0</v>
      </c>
      <c r="P511" s="35"/>
      <c r="Q511" s="35">
        <v>0</v>
      </c>
      <c r="R511" s="35"/>
      <c r="S511" s="35">
        <v>0</v>
      </c>
      <c r="T511" s="35">
        <v>0</v>
      </c>
      <c r="U511" s="35">
        <v>0</v>
      </c>
      <c r="V511" s="35">
        <v>0</v>
      </c>
      <c r="W511" s="42">
        <f t="shared" si="152"/>
        <v>1688500</v>
      </c>
      <c r="X511" s="165">
        <v>2015</v>
      </c>
      <c r="Y511" s="165">
        <v>2015</v>
      </c>
      <c r="Z511" s="155"/>
      <c r="AA511" s="155"/>
    </row>
    <row r="512" spans="1:28" s="118" customFormat="1" ht="18" customHeight="1" x14ac:dyDescent="0.3">
      <c r="A512" s="165">
        <f t="shared" si="153"/>
        <v>373</v>
      </c>
      <c r="B512" s="24" t="s">
        <v>285</v>
      </c>
      <c r="C512" s="142" t="s">
        <v>216</v>
      </c>
      <c r="D512" s="165"/>
      <c r="E512" s="96">
        <v>3421.9</v>
      </c>
      <c r="F512" s="96">
        <v>2591.6</v>
      </c>
      <c r="G512" s="42">
        <f t="shared" si="151"/>
        <v>950000</v>
      </c>
      <c r="H512" s="35">
        <v>950000</v>
      </c>
      <c r="I512" s="35"/>
      <c r="J512" s="35">
        <v>0</v>
      </c>
      <c r="K512" s="35">
        <v>0</v>
      </c>
      <c r="L512" s="35"/>
      <c r="M512" s="35">
        <v>0</v>
      </c>
      <c r="N512" s="35"/>
      <c r="O512" s="35">
        <v>0</v>
      </c>
      <c r="P512" s="35"/>
      <c r="Q512" s="35">
        <v>0</v>
      </c>
      <c r="R512" s="35"/>
      <c r="S512" s="35">
        <v>0</v>
      </c>
      <c r="T512" s="35">
        <v>0</v>
      </c>
      <c r="U512" s="35">
        <v>0</v>
      </c>
      <c r="V512" s="35">
        <v>0</v>
      </c>
      <c r="W512" s="42">
        <f t="shared" si="152"/>
        <v>950000</v>
      </c>
      <c r="X512" s="165">
        <v>2015</v>
      </c>
      <c r="Y512" s="165">
        <v>2015</v>
      </c>
      <c r="Z512" s="155"/>
      <c r="AA512" s="155"/>
    </row>
    <row r="513" spans="1:28" s="118" customFormat="1" ht="18" customHeight="1" x14ac:dyDescent="0.3">
      <c r="A513" s="165">
        <f t="shared" si="153"/>
        <v>374</v>
      </c>
      <c r="B513" s="24" t="s">
        <v>286</v>
      </c>
      <c r="C513" s="142" t="s">
        <v>271</v>
      </c>
      <c r="D513" s="165"/>
      <c r="E513" s="95">
        <v>4163.3</v>
      </c>
      <c r="F513" s="95">
        <v>3215.6</v>
      </c>
      <c r="G513" s="42">
        <f t="shared" si="151"/>
        <v>990110</v>
      </c>
      <c r="H513" s="35">
        <v>990110</v>
      </c>
      <c r="I513" s="35"/>
      <c r="J513" s="35">
        <v>0</v>
      </c>
      <c r="K513" s="35">
        <v>0</v>
      </c>
      <c r="L513" s="35"/>
      <c r="M513" s="35">
        <v>0</v>
      </c>
      <c r="N513" s="35"/>
      <c r="O513" s="35">
        <v>0</v>
      </c>
      <c r="P513" s="35"/>
      <c r="Q513" s="35">
        <v>0</v>
      </c>
      <c r="R513" s="35"/>
      <c r="S513" s="35">
        <v>0</v>
      </c>
      <c r="T513" s="35">
        <v>0</v>
      </c>
      <c r="U513" s="35">
        <v>0</v>
      </c>
      <c r="V513" s="35">
        <v>0</v>
      </c>
      <c r="W513" s="42">
        <f t="shared" si="152"/>
        <v>990110</v>
      </c>
      <c r="X513" s="165">
        <v>2015</v>
      </c>
      <c r="Y513" s="165">
        <v>2015</v>
      </c>
      <c r="Z513" s="155"/>
      <c r="AA513" s="155"/>
    </row>
    <row r="514" spans="1:28" s="118" customFormat="1" ht="18" customHeight="1" x14ac:dyDescent="0.3">
      <c r="A514" s="165">
        <f t="shared" si="153"/>
        <v>375</v>
      </c>
      <c r="B514" s="24" t="s">
        <v>287</v>
      </c>
      <c r="C514" s="142" t="s">
        <v>288</v>
      </c>
      <c r="D514" s="165"/>
      <c r="E514" s="95">
        <v>4141.7</v>
      </c>
      <c r="F514" s="95">
        <v>3190.1</v>
      </c>
      <c r="G514" s="42">
        <f t="shared" si="151"/>
        <v>1000000</v>
      </c>
      <c r="H514" s="35">
        <v>1000000</v>
      </c>
      <c r="I514" s="35"/>
      <c r="J514" s="35">
        <v>0</v>
      </c>
      <c r="K514" s="35">
        <v>0</v>
      </c>
      <c r="L514" s="35"/>
      <c r="M514" s="35">
        <v>0</v>
      </c>
      <c r="N514" s="35"/>
      <c r="O514" s="35">
        <v>0</v>
      </c>
      <c r="P514" s="35"/>
      <c r="Q514" s="35">
        <v>0</v>
      </c>
      <c r="R514" s="35"/>
      <c r="S514" s="35">
        <v>0</v>
      </c>
      <c r="T514" s="35">
        <v>0</v>
      </c>
      <c r="U514" s="35">
        <v>0</v>
      </c>
      <c r="V514" s="35">
        <v>0</v>
      </c>
      <c r="W514" s="42">
        <f t="shared" si="152"/>
        <v>1000000</v>
      </c>
      <c r="X514" s="165">
        <v>2015</v>
      </c>
      <c r="Y514" s="165">
        <v>2015</v>
      </c>
      <c r="Z514" s="155"/>
      <c r="AA514" s="155"/>
    </row>
    <row r="515" spans="1:28" s="118" customFormat="1" ht="18" customHeight="1" x14ac:dyDescent="0.3">
      <c r="A515" s="165">
        <f t="shared" si="153"/>
        <v>376</v>
      </c>
      <c r="B515" s="24" t="s">
        <v>289</v>
      </c>
      <c r="C515" s="142" t="s">
        <v>206</v>
      </c>
      <c r="D515" s="165"/>
      <c r="E515" s="95">
        <v>3270.2</v>
      </c>
      <c r="F515" s="95">
        <v>2045.2</v>
      </c>
      <c r="G515" s="42">
        <f t="shared" si="151"/>
        <v>800000</v>
      </c>
      <c r="H515" s="35">
        <v>800000</v>
      </c>
      <c r="I515" s="35"/>
      <c r="J515" s="35">
        <v>0</v>
      </c>
      <c r="K515" s="35">
        <v>0</v>
      </c>
      <c r="L515" s="35"/>
      <c r="M515" s="35">
        <v>0</v>
      </c>
      <c r="N515" s="35"/>
      <c r="O515" s="35">
        <v>0</v>
      </c>
      <c r="P515" s="35"/>
      <c r="Q515" s="35">
        <v>0</v>
      </c>
      <c r="R515" s="35"/>
      <c r="S515" s="35">
        <v>0</v>
      </c>
      <c r="T515" s="35">
        <v>0</v>
      </c>
      <c r="U515" s="35">
        <v>0</v>
      </c>
      <c r="V515" s="35">
        <v>0</v>
      </c>
      <c r="W515" s="42">
        <f t="shared" si="152"/>
        <v>800000</v>
      </c>
      <c r="X515" s="165">
        <v>2015</v>
      </c>
      <c r="Y515" s="165">
        <v>2015</v>
      </c>
      <c r="Z515" s="155"/>
      <c r="AA515" s="155"/>
    </row>
    <row r="516" spans="1:28" s="118" customFormat="1" ht="18" customHeight="1" x14ac:dyDescent="0.3">
      <c r="A516" s="165">
        <f t="shared" si="153"/>
        <v>377</v>
      </c>
      <c r="B516" s="24" t="s">
        <v>290</v>
      </c>
      <c r="C516" s="142" t="s">
        <v>291</v>
      </c>
      <c r="D516" s="165"/>
      <c r="E516" s="95">
        <v>4467.6000000000004</v>
      </c>
      <c r="F516" s="135">
        <v>3416.8</v>
      </c>
      <c r="G516" s="42">
        <f t="shared" si="151"/>
        <v>1094200</v>
      </c>
      <c r="H516" s="35">
        <v>1094200</v>
      </c>
      <c r="I516" s="35"/>
      <c r="J516" s="35">
        <v>0</v>
      </c>
      <c r="K516" s="35">
        <v>0</v>
      </c>
      <c r="L516" s="35"/>
      <c r="M516" s="35">
        <v>0</v>
      </c>
      <c r="N516" s="35"/>
      <c r="O516" s="35">
        <v>0</v>
      </c>
      <c r="P516" s="35"/>
      <c r="Q516" s="35">
        <v>0</v>
      </c>
      <c r="R516" s="35"/>
      <c r="S516" s="35">
        <v>0</v>
      </c>
      <c r="T516" s="35">
        <v>0</v>
      </c>
      <c r="U516" s="35">
        <v>0</v>
      </c>
      <c r="V516" s="35">
        <v>0</v>
      </c>
      <c r="W516" s="42">
        <f t="shared" si="152"/>
        <v>1094200</v>
      </c>
      <c r="X516" s="165">
        <v>2015</v>
      </c>
      <c r="Y516" s="165">
        <v>2015</v>
      </c>
      <c r="Z516" s="155"/>
      <c r="AA516" s="155"/>
    </row>
    <row r="517" spans="1:28" s="118" customFormat="1" ht="18" customHeight="1" x14ac:dyDescent="0.3">
      <c r="A517" s="165">
        <f t="shared" si="153"/>
        <v>378</v>
      </c>
      <c r="B517" s="24" t="s">
        <v>292</v>
      </c>
      <c r="C517" s="142" t="s">
        <v>293</v>
      </c>
      <c r="D517" s="165"/>
      <c r="E517" s="95">
        <v>4392</v>
      </c>
      <c r="F517" s="95">
        <v>3385</v>
      </c>
      <c r="G517" s="42">
        <f t="shared" si="151"/>
        <v>1075700</v>
      </c>
      <c r="H517" s="35">
        <v>1075700</v>
      </c>
      <c r="I517" s="35"/>
      <c r="J517" s="35">
        <v>0</v>
      </c>
      <c r="K517" s="35">
        <v>0</v>
      </c>
      <c r="L517" s="35"/>
      <c r="M517" s="35">
        <v>0</v>
      </c>
      <c r="N517" s="35"/>
      <c r="O517" s="35">
        <v>0</v>
      </c>
      <c r="P517" s="35"/>
      <c r="Q517" s="35">
        <v>0</v>
      </c>
      <c r="R517" s="35"/>
      <c r="S517" s="35">
        <v>0</v>
      </c>
      <c r="T517" s="35">
        <v>0</v>
      </c>
      <c r="U517" s="35">
        <v>0</v>
      </c>
      <c r="V517" s="35">
        <v>0</v>
      </c>
      <c r="W517" s="42">
        <f t="shared" si="152"/>
        <v>1075700</v>
      </c>
      <c r="X517" s="165">
        <v>2015</v>
      </c>
      <c r="Y517" s="165">
        <v>2015</v>
      </c>
      <c r="Z517" s="155"/>
      <c r="AA517" s="155"/>
    </row>
    <row r="518" spans="1:28" s="118" customFormat="1" ht="18" customHeight="1" x14ac:dyDescent="0.3">
      <c r="A518" s="171">
        <f t="shared" si="153"/>
        <v>379</v>
      </c>
      <c r="B518" s="39" t="s">
        <v>396</v>
      </c>
      <c r="C518" s="142" t="s">
        <v>20</v>
      </c>
      <c r="D518" s="171"/>
      <c r="E518" s="93">
        <v>3301.5</v>
      </c>
      <c r="F518" s="93">
        <v>2377.6999999999998</v>
      </c>
      <c r="G518" s="42">
        <f t="shared" ref="G518:G520" si="154">H518+J518+K518+M518+O518+Q518+S518</f>
        <v>1231743.71</v>
      </c>
      <c r="H518" s="35">
        <f>ROUND(518.04*F518,2)</f>
        <v>1231743.71</v>
      </c>
      <c r="I518" s="35">
        <f t="shared" ref="I518:I520" si="155">H518/F518</f>
        <v>518.04000084114898</v>
      </c>
      <c r="J518" s="35">
        <v>0</v>
      </c>
      <c r="K518" s="35">
        <v>0</v>
      </c>
      <c r="L518" s="35"/>
      <c r="M518" s="35">
        <v>0</v>
      </c>
      <c r="N518" s="35"/>
      <c r="O518" s="35">
        <v>0</v>
      </c>
      <c r="P518" s="35"/>
      <c r="Q518" s="35">
        <v>0</v>
      </c>
      <c r="R518" s="35"/>
      <c r="S518" s="35">
        <v>0</v>
      </c>
      <c r="T518" s="35">
        <v>0</v>
      </c>
      <c r="U518" s="35">
        <v>0</v>
      </c>
      <c r="V518" s="35">
        <v>0</v>
      </c>
      <c r="W518" s="42">
        <f t="shared" si="152"/>
        <v>1231743.71</v>
      </c>
      <c r="X518" s="171">
        <v>2016</v>
      </c>
      <c r="Y518" s="171">
        <v>2016</v>
      </c>
      <c r="Z518" s="155">
        <f>Z502+1</f>
        <v>195</v>
      </c>
      <c r="AA518" s="155">
        <v>1</v>
      </c>
    </row>
    <row r="519" spans="1:28" s="118" customFormat="1" ht="18" customHeight="1" x14ac:dyDescent="0.3">
      <c r="A519" s="171">
        <f t="shared" si="153"/>
        <v>380</v>
      </c>
      <c r="B519" s="39" t="s">
        <v>277</v>
      </c>
      <c r="C519" s="142" t="s">
        <v>278</v>
      </c>
      <c r="D519" s="171"/>
      <c r="E519" s="93">
        <v>423.6</v>
      </c>
      <c r="F519" s="96">
        <v>417.6</v>
      </c>
      <c r="G519" s="42">
        <f t="shared" si="154"/>
        <v>216333.5</v>
      </c>
      <c r="H519" s="35">
        <f>ROUND(518.04*F519,2)</f>
        <v>216333.5</v>
      </c>
      <c r="I519" s="35">
        <f t="shared" si="155"/>
        <v>518.03999042145585</v>
      </c>
      <c r="J519" s="35">
        <v>0</v>
      </c>
      <c r="K519" s="35">
        <v>0</v>
      </c>
      <c r="L519" s="35"/>
      <c r="M519" s="35">
        <v>0</v>
      </c>
      <c r="N519" s="35"/>
      <c r="O519" s="35">
        <v>0</v>
      </c>
      <c r="P519" s="35">
        <f>O519/F519</f>
        <v>0</v>
      </c>
      <c r="Q519" s="35">
        <v>0</v>
      </c>
      <c r="R519" s="35">
        <v>0</v>
      </c>
      <c r="S519" s="35">
        <v>0</v>
      </c>
      <c r="T519" s="35">
        <v>0</v>
      </c>
      <c r="U519" s="35">
        <v>0</v>
      </c>
      <c r="V519" s="35">
        <v>0</v>
      </c>
      <c r="W519" s="42">
        <f t="shared" si="152"/>
        <v>216333.5</v>
      </c>
      <c r="X519" s="171">
        <v>2015</v>
      </c>
      <c r="Y519" s="171">
        <v>2016</v>
      </c>
      <c r="Z519" s="155">
        <f t="shared" ref="Z519:AA520" si="156">Z518+1</f>
        <v>196</v>
      </c>
      <c r="AA519" s="155">
        <f t="shared" si="156"/>
        <v>2</v>
      </c>
    </row>
    <row r="520" spans="1:28" s="118" customFormat="1" ht="18" customHeight="1" x14ac:dyDescent="0.3">
      <c r="A520" s="171">
        <f t="shared" si="153"/>
        <v>381</v>
      </c>
      <c r="B520" s="24" t="s">
        <v>380</v>
      </c>
      <c r="C520" s="142">
        <v>1966</v>
      </c>
      <c r="D520" s="171"/>
      <c r="E520" s="93">
        <v>3297.4</v>
      </c>
      <c r="F520" s="93">
        <v>2543.9</v>
      </c>
      <c r="G520" s="42">
        <f t="shared" si="154"/>
        <v>817736.66</v>
      </c>
      <c r="H520" s="35">
        <f>ROUND(321.45*F520,2)</f>
        <v>817736.66</v>
      </c>
      <c r="I520" s="35">
        <f t="shared" si="155"/>
        <v>321.45000196548608</v>
      </c>
      <c r="J520" s="35">
        <v>0</v>
      </c>
      <c r="K520" s="35">
        <v>0</v>
      </c>
      <c r="L520" s="35"/>
      <c r="M520" s="35">
        <v>0</v>
      </c>
      <c r="N520" s="35"/>
      <c r="O520" s="35"/>
      <c r="P520" s="35"/>
      <c r="Q520" s="35">
        <v>0</v>
      </c>
      <c r="R520" s="35">
        <v>0</v>
      </c>
      <c r="S520" s="35">
        <v>0</v>
      </c>
      <c r="T520" s="35">
        <v>0</v>
      </c>
      <c r="U520" s="35">
        <v>0</v>
      </c>
      <c r="V520" s="35">
        <v>0</v>
      </c>
      <c r="W520" s="42">
        <f t="shared" si="152"/>
        <v>817736.66</v>
      </c>
      <c r="X520" s="171">
        <v>2016</v>
      </c>
      <c r="Y520" s="171">
        <v>2016</v>
      </c>
      <c r="Z520" s="155">
        <f t="shared" si="156"/>
        <v>197</v>
      </c>
      <c r="AA520" s="155">
        <f t="shared" si="156"/>
        <v>3</v>
      </c>
    </row>
    <row r="521" spans="1:28" s="116" customFormat="1" ht="19.5" customHeight="1" x14ac:dyDescent="0.25">
      <c r="A521" s="183" t="s">
        <v>173</v>
      </c>
      <c r="B521" s="183"/>
      <c r="C521" s="147"/>
      <c r="D521" s="165"/>
      <c r="E521" s="29">
        <v>0</v>
      </c>
      <c r="F521" s="29">
        <v>0</v>
      </c>
      <c r="G521" s="19">
        <v>0</v>
      </c>
      <c r="H521" s="28">
        <v>0</v>
      </c>
      <c r="I521" s="28"/>
      <c r="J521" s="28">
        <v>0</v>
      </c>
      <c r="K521" s="28">
        <v>0</v>
      </c>
      <c r="L521" s="28"/>
      <c r="M521" s="28">
        <v>0</v>
      </c>
      <c r="N521" s="28"/>
      <c r="O521" s="28">
        <v>0</v>
      </c>
      <c r="P521" s="28"/>
      <c r="Q521" s="28">
        <v>0</v>
      </c>
      <c r="R521" s="28"/>
      <c r="S521" s="28">
        <v>0</v>
      </c>
      <c r="T521" s="28">
        <v>0</v>
      </c>
      <c r="U521" s="28">
        <v>0</v>
      </c>
      <c r="V521" s="28">
        <v>0</v>
      </c>
      <c r="W521" s="19">
        <v>0</v>
      </c>
      <c r="X521" s="20" t="s">
        <v>368</v>
      </c>
      <c r="Y521" s="20" t="s">
        <v>368</v>
      </c>
      <c r="Z521" s="156"/>
      <c r="AA521" s="156"/>
    </row>
    <row r="522" spans="1:28" s="116" customFormat="1" ht="19.5" customHeight="1" x14ac:dyDescent="0.25">
      <c r="A522" s="183" t="s">
        <v>171</v>
      </c>
      <c r="B522" s="183"/>
      <c r="C522" s="144"/>
      <c r="D522" s="167"/>
      <c r="E522" s="29">
        <f>SUM(E507:E517)</f>
        <v>70337.099999999991</v>
      </c>
      <c r="F522" s="29">
        <f>SUM(F507:F517)</f>
        <v>54716.799999999996</v>
      </c>
      <c r="G522" s="19">
        <f t="shared" ref="G522:W522" si="157">SUM(G507:G517)</f>
        <v>12616390</v>
      </c>
      <c r="H522" s="28">
        <f t="shared" si="157"/>
        <v>12616390</v>
      </c>
      <c r="I522" s="28"/>
      <c r="J522" s="28">
        <f t="shared" si="157"/>
        <v>0</v>
      </c>
      <c r="K522" s="28">
        <f t="shared" si="157"/>
        <v>0</v>
      </c>
      <c r="L522" s="28"/>
      <c r="M522" s="28">
        <f t="shared" si="157"/>
        <v>0</v>
      </c>
      <c r="N522" s="28"/>
      <c r="O522" s="28">
        <f t="shared" si="157"/>
        <v>0</v>
      </c>
      <c r="P522" s="28"/>
      <c r="Q522" s="28">
        <f t="shared" si="157"/>
        <v>0</v>
      </c>
      <c r="R522" s="28"/>
      <c r="S522" s="28">
        <f t="shared" si="157"/>
        <v>0</v>
      </c>
      <c r="T522" s="28">
        <f t="shared" si="157"/>
        <v>0</v>
      </c>
      <c r="U522" s="28">
        <f t="shared" si="157"/>
        <v>0</v>
      </c>
      <c r="V522" s="28">
        <f t="shared" si="157"/>
        <v>0</v>
      </c>
      <c r="W522" s="19">
        <f t="shared" si="157"/>
        <v>12616390</v>
      </c>
      <c r="X522" s="167" t="s">
        <v>368</v>
      </c>
      <c r="Y522" s="167" t="s">
        <v>368</v>
      </c>
      <c r="Z522" s="156"/>
      <c r="AA522" s="156"/>
    </row>
    <row r="523" spans="1:28" s="116" customFormat="1" ht="19.5" customHeight="1" x14ac:dyDescent="0.25">
      <c r="A523" s="183" t="s">
        <v>172</v>
      </c>
      <c r="B523" s="183"/>
      <c r="C523" s="147"/>
      <c r="D523" s="165"/>
      <c r="E523" s="29">
        <f>SUM(E518:E520)</f>
        <v>7022.5</v>
      </c>
      <c r="F523" s="29">
        <f>SUM(F518:F520)</f>
        <v>5339.2</v>
      </c>
      <c r="G523" s="19">
        <f>SUM(G518:G520)</f>
        <v>2265813.87</v>
      </c>
      <c r="H523" s="19">
        <f t="shared" ref="H523:W523" si="158">SUM(H518:H520)</f>
        <v>2265813.87</v>
      </c>
      <c r="I523" s="19">
        <f t="shared" si="158"/>
        <v>1357.5299932280909</v>
      </c>
      <c r="J523" s="19">
        <f t="shared" si="158"/>
        <v>0</v>
      </c>
      <c r="K523" s="19">
        <f t="shared" si="158"/>
        <v>0</v>
      </c>
      <c r="L523" s="19">
        <f t="shared" si="158"/>
        <v>0</v>
      </c>
      <c r="M523" s="19">
        <f t="shared" si="158"/>
        <v>0</v>
      </c>
      <c r="N523" s="19">
        <f t="shared" si="158"/>
        <v>0</v>
      </c>
      <c r="O523" s="19">
        <f t="shared" si="158"/>
        <v>0</v>
      </c>
      <c r="P523" s="19">
        <f t="shared" si="158"/>
        <v>0</v>
      </c>
      <c r="Q523" s="19">
        <f t="shared" si="158"/>
        <v>0</v>
      </c>
      <c r="R523" s="19">
        <f t="shared" si="158"/>
        <v>0</v>
      </c>
      <c r="S523" s="19">
        <f t="shared" si="158"/>
        <v>0</v>
      </c>
      <c r="T523" s="19">
        <f t="shared" si="158"/>
        <v>0</v>
      </c>
      <c r="U523" s="19">
        <f t="shared" si="158"/>
        <v>0</v>
      </c>
      <c r="V523" s="19">
        <f t="shared" si="158"/>
        <v>0</v>
      </c>
      <c r="W523" s="19">
        <f t="shared" si="158"/>
        <v>2265813.87</v>
      </c>
      <c r="X523" s="20" t="s">
        <v>368</v>
      </c>
      <c r="Y523" s="20" t="s">
        <v>368</v>
      </c>
      <c r="Z523" s="156"/>
      <c r="AA523" s="156"/>
    </row>
    <row r="524" spans="1:28" s="116" customFormat="1" ht="19.5" customHeight="1" x14ac:dyDescent="0.25">
      <c r="A524" s="183" t="s">
        <v>381</v>
      </c>
      <c r="B524" s="183"/>
      <c r="C524" s="142"/>
      <c r="D524" s="167"/>
      <c r="E524" s="29">
        <f t="shared" ref="E524:W524" si="159">E521+E503</f>
        <v>0</v>
      </c>
      <c r="F524" s="29">
        <f t="shared" si="159"/>
        <v>0</v>
      </c>
      <c r="G524" s="19">
        <f t="shared" si="159"/>
        <v>0</v>
      </c>
      <c r="H524" s="19">
        <f t="shared" si="159"/>
        <v>0</v>
      </c>
      <c r="I524" s="19">
        <f t="shared" si="159"/>
        <v>0</v>
      </c>
      <c r="J524" s="19">
        <f t="shared" si="159"/>
        <v>0</v>
      </c>
      <c r="K524" s="19">
        <f t="shared" si="159"/>
        <v>0</v>
      </c>
      <c r="L524" s="19">
        <f t="shared" si="159"/>
        <v>0</v>
      </c>
      <c r="M524" s="19">
        <f t="shared" si="159"/>
        <v>0</v>
      </c>
      <c r="N524" s="19">
        <f t="shared" si="159"/>
        <v>0</v>
      </c>
      <c r="O524" s="19">
        <f t="shared" si="159"/>
        <v>0</v>
      </c>
      <c r="P524" s="19">
        <f t="shared" si="159"/>
        <v>0</v>
      </c>
      <c r="Q524" s="19">
        <f t="shared" si="159"/>
        <v>0</v>
      </c>
      <c r="R524" s="19">
        <f t="shared" si="159"/>
        <v>0</v>
      </c>
      <c r="S524" s="19">
        <f t="shared" si="159"/>
        <v>0</v>
      </c>
      <c r="T524" s="19">
        <f t="shared" si="159"/>
        <v>0</v>
      </c>
      <c r="U524" s="19">
        <f t="shared" si="159"/>
        <v>0</v>
      </c>
      <c r="V524" s="19">
        <f t="shared" si="159"/>
        <v>0</v>
      </c>
      <c r="W524" s="19">
        <f t="shared" si="159"/>
        <v>0</v>
      </c>
      <c r="X524" s="20" t="s">
        <v>368</v>
      </c>
      <c r="Y524" s="20" t="s">
        <v>368</v>
      </c>
      <c r="Z524" s="156"/>
      <c r="AA524" s="156"/>
    </row>
    <row r="525" spans="1:28" s="116" customFormat="1" ht="19.5" customHeight="1" x14ac:dyDescent="0.25">
      <c r="A525" s="183" t="s">
        <v>296</v>
      </c>
      <c r="B525" s="183"/>
      <c r="C525" s="144"/>
      <c r="D525" s="167"/>
      <c r="E525" s="29">
        <f t="shared" ref="E525:W525" si="160">E522+E504</f>
        <v>74617.399999999994</v>
      </c>
      <c r="F525" s="29">
        <f t="shared" si="160"/>
        <v>58603.499999999993</v>
      </c>
      <c r="G525" s="19">
        <f t="shared" si="160"/>
        <v>13872790</v>
      </c>
      <c r="H525" s="19">
        <f t="shared" si="160"/>
        <v>13872790</v>
      </c>
      <c r="I525" s="19">
        <f t="shared" si="160"/>
        <v>0</v>
      </c>
      <c r="J525" s="19">
        <f t="shared" si="160"/>
        <v>0</v>
      </c>
      <c r="K525" s="19">
        <f t="shared" si="160"/>
        <v>0</v>
      </c>
      <c r="L525" s="19">
        <f t="shared" si="160"/>
        <v>0</v>
      </c>
      <c r="M525" s="19">
        <f t="shared" si="160"/>
        <v>0</v>
      </c>
      <c r="N525" s="19">
        <f t="shared" si="160"/>
        <v>0</v>
      </c>
      <c r="O525" s="19">
        <f t="shared" si="160"/>
        <v>0</v>
      </c>
      <c r="P525" s="19">
        <f t="shared" si="160"/>
        <v>0</v>
      </c>
      <c r="Q525" s="19">
        <f t="shared" si="160"/>
        <v>0</v>
      </c>
      <c r="R525" s="19">
        <f t="shared" si="160"/>
        <v>0</v>
      </c>
      <c r="S525" s="19">
        <f t="shared" si="160"/>
        <v>0</v>
      </c>
      <c r="T525" s="19">
        <f t="shared" si="160"/>
        <v>0</v>
      </c>
      <c r="U525" s="19">
        <f t="shared" si="160"/>
        <v>0</v>
      </c>
      <c r="V525" s="19">
        <f t="shared" si="160"/>
        <v>0</v>
      </c>
      <c r="W525" s="19">
        <f t="shared" si="160"/>
        <v>13872790</v>
      </c>
      <c r="X525" s="167" t="s">
        <v>368</v>
      </c>
      <c r="Y525" s="167" t="s">
        <v>368</v>
      </c>
      <c r="Z525" s="156"/>
      <c r="AA525" s="156"/>
    </row>
    <row r="526" spans="1:28" s="116" customFormat="1" ht="19.5" customHeight="1" x14ac:dyDescent="0.25">
      <c r="A526" s="183" t="s">
        <v>382</v>
      </c>
      <c r="B526" s="183"/>
      <c r="C526" s="144"/>
      <c r="D526" s="167"/>
      <c r="E526" s="29">
        <f>E505+E523</f>
        <v>39441.800000000003</v>
      </c>
      <c r="F526" s="29">
        <f t="shared" ref="F526:W526" si="161">F505+F523</f>
        <v>31858.300000000003</v>
      </c>
      <c r="G526" s="19">
        <f t="shared" si="161"/>
        <v>21234200.510000002</v>
      </c>
      <c r="H526" s="19">
        <f t="shared" si="161"/>
        <v>10676184.010000002</v>
      </c>
      <c r="I526" s="19">
        <f t="shared" si="161"/>
        <v>4376.2493349876349</v>
      </c>
      <c r="J526" s="19">
        <f t="shared" si="161"/>
        <v>10497095.550000001</v>
      </c>
      <c r="K526" s="19">
        <f t="shared" si="161"/>
        <v>0</v>
      </c>
      <c r="L526" s="19">
        <f t="shared" si="161"/>
        <v>0</v>
      </c>
      <c r="M526" s="19">
        <f t="shared" si="161"/>
        <v>60920.95</v>
      </c>
      <c r="N526" s="19">
        <f t="shared" si="161"/>
        <v>14.966453752610244</v>
      </c>
      <c r="O526" s="19">
        <f t="shared" si="161"/>
        <v>0</v>
      </c>
      <c r="P526" s="19">
        <f t="shared" si="161"/>
        <v>0</v>
      </c>
      <c r="Q526" s="19">
        <f t="shared" si="161"/>
        <v>0</v>
      </c>
      <c r="R526" s="19">
        <f t="shared" si="161"/>
        <v>0</v>
      </c>
      <c r="S526" s="19">
        <f t="shared" si="161"/>
        <v>0</v>
      </c>
      <c r="T526" s="19">
        <f t="shared" si="161"/>
        <v>0</v>
      </c>
      <c r="U526" s="19">
        <f t="shared" si="161"/>
        <v>0</v>
      </c>
      <c r="V526" s="19">
        <f t="shared" si="161"/>
        <v>0</v>
      </c>
      <c r="W526" s="19">
        <f t="shared" si="161"/>
        <v>21234200.510000002</v>
      </c>
      <c r="X526" s="20" t="s">
        <v>368</v>
      </c>
      <c r="Y526" s="20" t="s">
        <v>368</v>
      </c>
      <c r="Z526" s="156"/>
      <c r="AA526" s="156"/>
      <c r="AB526" s="157">
        <f>T526+V526+W526</f>
        <v>21234200.510000002</v>
      </c>
    </row>
    <row r="527" spans="1:28" s="116" customFormat="1" ht="17.25" customHeight="1" x14ac:dyDescent="0.25">
      <c r="A527" s="182" t="s">
        <v>294</v>
      </c>
      <c r="B527" s="182"/>
      <c r="C527" s="182"/>
      <c r="D527" s="182"/>
      <c r="E527" s="182"/>
      <c r="F527" s="182"/>
      <c r="G527" s="182"/>
      <c r="H527" s="182"/>
      <c r="I527" s="182"/>
      <c r="J527" s="182"/>
      <c r="K527" s="182"/>
      <c r="L527" s="182"/>
      <c r="M527" s="182"/>
      <c r="N527" s="182"/>
      <c r="O527" s="182"/>
      <c r="P527" s="182"/>
      <c r="Q527" s="182"/>
      <c r="R527" s="182"/>
      <c r="S527" s="182"/>
      <c r="T527" s="182"/>
      <c r="U527" s="182"/>
      <c r="V527" s="182"/>
      <c r="W527" s="182"/>
      <c r="X527" s="165"/>
      <c r="Y527" s="165"/>
      <c r="Z527" s="156"/>
      <c r="AA527" s="156"/>
    </row>
    <row r="528" spans="1:28" s="116" customFormat="1" ht="17.25" customHeight="1" x14ac:dyDescent="0.25">
      <c r="A528" s="182" t="s">
        <v>103</v>
      </c>
      <c r="B528" s="182"/>
      <c r="C528" s="182"/>
      <c r="D528" s="182"/>
      <c r="E528" s="182"/>
      <c r="F528" s="182"/>
      <c r="G528" s="182"/>
      <c r="H528" s="182"/>
      <c r="I528" s="182"/>
      <c r="J528" s="182"/>
      <c r="K528" s="182"/>
      <c r="L528" s="182"/>
      <c r="M528" s="182"/>
      <c r="N528" s="182"/>
      <c r="O528" s="182"/>
      <c r="P528" s="182"/>
      <c r="Q528" s="182"/>
      <c r="R528" s="182"/>
      <c r="S528" s="182"/>
      <c r="T528" s="182"/>
      <c r="U528" s="182"/>
      <c r="V528" s="182"/>
      <c r="W528" s="182"/>
      <c r="X528" s="165"/>
      <c r="Y528" s="165"/>
      <c r="Z528" s="156"/>
      <c r="AA528" s="156"/>
    </row>
    <row r="529" spans="1:28" s="116" customFormat="1" ht="18" customHeight="1" x14ac:dyDescent="0.25">
      <c r="A529" s="165">
        <f>A520+1</f>
        <v>382</v>
      </c>
      <c r="B529" s="24" t="s">
        <v>514</v>
      </c>
      <c r="C529" s="150">
        <v>1968</v>
      </c>
      <c r="D529" s="97"/>
      <c r="E529" s="98">
        <v>577.4</v>
      </c>
      <c r="F529" s="45">
        <v>515.9</v>
      </c>
      <c r="G529" s="136">
        <f t="shared" ref="G529:G537" si="162">SUM(H529:S529)</f>
        <v>50525</v>
      </c>
      <c r="H529" s="99">
        <v>50525</v>
      </c>
      <c r="I529" s="99"/>
      <c r="J529" s="35">
        <v>0</v>
      </c>
      <c r="K529" s="35">
        <v>0</v>
      </c>
      <c r="L529" s="35"/>
      <c r="M529" s="35">
        <v>0</v>
      </c>
      <c r="N529" s="35"/>
      <c r="O529" s="35">
        <v>0</v>
      </c>
      <c r="P529" s="35"/>
      <c r="Q529" s="35">
        <v>0</v>
      </c>
      <c r="R529" s="35"/>
      <c r="S529" s="35">
        <v>0</v>
      </c>
      <c r="T529" s="35">
        <v>0</v>
      </c>
      <c r="U529" s="35">
        <v>0</v>
      </c>
      <c r="V529" s="99">
        <v>50525</v>
      </c>
      <c r="W529" s="42">
        <v>0</v>
      </c>
      <c r="X529" s="165">
        <v>2014</v>
      </c>
      <c r="Y529" s="165">
        <v>2014</v>
      </c>
      <c r="Z529" s="156"/>
      <c r="AA529" s="156"/>
    </row>
    <row r="530" spans="1:28" s="116" customFormat="1" ht="18" customHeight="1" x14ac:dyDescent="0.25">
      <c r="A530" s="165">
        <f>A529+1</f>
        <v>383</v>
      </c>
      <c r="B530" s="24" t="s">
        <v>515</v>
      </c>
      <c r="C530" s="150">
        <v>1936</v>
      </c>
      <c r="D530" s="97"/>
      <c r="E530" s="98">
        <v>306.60000000000002</v>
      </c>
      <c r="F530" s="45">
        <v>269.3</v>
      </c>
      <c r="G530" s="136">
        <f t="shared" si="162"/>
        <v>87645</v>
      </c>
      <c r="H530" s="99">
        <v>87645</v>
      </c>
      <c r="I530" s="99"/>
      <c r="J530" s="35">
        <v>0</v>
      </c>
      <c r="K530" s="35">
        <v>0</v>
      </c>
      <c r="L530" s="35"/>
      <c r="M530" s="35">
        <v>0</v>
      </c>
      <c r="N530" s="35"/>
      <c r="O530" s="35">
        <v>0</v>
      </c>
      <c r="P530" s="35"/>
      <c r="Q530" s="35">
        <v>0</v>
      </c>
      <c r="R530" s="35"/>
      <c r="S530" s="35">
        <v>0</v>
      </c>
      <c r="T530" s="35">
        <v>0</v>
      </c>
      <c r="U530" s="35">
        <v>0</v>
      </c>
      <c r="V530" s="99">
        <v>87645</v>
      </c>
      <c r="W530" s="42">
        <v>0</v>
      </c>
      <c r="X530" s="165">
        <v>2014</v>
      </c>
      <c r="Y530" s="165">
        <v>2014</v>
      </c>
      <c r="Z530" s="156"/>
      <c r="AA530" s="156"/>
    </row>
    <row r="531" spans="1:28" s="116" customFormat="1" ht="18" customHeight="1" x14ac:dyDescent="0.25">
      <c r="A531" s="165">
        <f t="shared" ref="A531:A538" si="163">A530+1</f>
        <v>384</v>
      </c>
      <c r="B531" s="24" t="s">
        <v>516</v>
      </c>
      <c r="C531" s="150">
        <v>1973</v>
      </c>
      <c r="D531" s="97"/>
      <c r="E531" s="98">
        <v>596.6</v>
      </c>
      <c r="F531" s="45">
        <v>334.8</v>
      </c>
      <c r="G531" s="136">
        <f t="shared" si="162"/>
        <v>86265</v>
      </c>
      <c r="H531" s="99">
        <v>86265</v>
      </c>
      <c r="I531" s="99"/>
      <c r="J531" s="35">
        <v>0</v>
      </c>
      <c r="K531" s="35">
        <v>0</v>
      </c>
      <c r="L531" s="35"/>
      <c r="M531" s="35">
        <v>0</v>
      </c>
      <c r="N531" s="35"/>
      <c r="O531" s="35">
        <v>0</v>
      </c>
      <c r="P531" s="35"/>
      <c r="Q531" s="35">
        <v>0</v>
      </c>
      <c r="R531" s="35"/>
      <c r="S531" s="35">
        <v>0</v>
      </c>
      <c r="T531" s="35">
        <v>0</v>
      </c>
      <c r="U531" s="35">
        <v>0</v>
      </c>
      <c r="V531" s="99">
        <v>81949.960000000006</v>
      </c>
      <c r="W531" s="42">
        <v>4315.04</v>
      </c>
      <c r="X531" s="165">
        <v>2014</v>
      </c>
      <c r="Y531" s="165">
        <v>2014</v>
      </c>
      <c r="Z531" s="156"/>
      <c r="AA531" s="156"/>
    </row>
    <row r="532" spans="1:28" s="116" customFormat="1" ht="18" customHeight="1" x14ac:dyDescent="0.25">
      <c r="A532" s="165">
        <f t="shared" si="163"/>
        <v>385</v>
      </c>
      <c r="B532" s="24" t="s">
        <v>517</v>
      </c>
      <c r="C532" s="150" t="s">
        <v>68</v>
      </c>
      <c r="D532" s="97"/>
      <c r="E532" s="98">
        <v>1231.0999999999999</v>
      </c>
      <c r="F532" s="45">
        <v>209.4</v>
      </c>
      <c r="G532" s="136">
        <f t="shared" si="162"/>
        <v>399886.49</v>
      </c>
      <c r="H532" s="35">
        <v>0</v>
      </c>
      <c r="I532" s="35"/>
      <c r="J532" s="35">
        <v>0</v>
      </c>
      <c r="K532" s="99">
        <v>399886.49</v>
      </c>
      <c r="L532" s="99"/>
      <c r="M532" s="35">
        <v>0</v>
      </c>
      <c r="N532" s="35"/>
      <c r="O532" s="35">
        <v>0</v>
      </c>
      <c r="P532" s="35"/>
      <c r="Q532" s="35">
        <v>0</v>
      </c>
      <c r="R532" s="35"/>
      <c r="S532" s="35">
        <v>0</v>
      </c>
      <c r="T532" s="35">
        <v>0</v>
      </c>
      <c r="U532" s="35">
        <v>0</v>
      </c>
      <c r="V532" s="99">
        <v>399886.49</v>
      </c>
      <c r="W532" s="42">
        <v>0</v>
      </c>
      <c r="X532" s="165">
        <v>2014</v>
      </c>
      <c r="Y532" s="165">
        <v>2014</v>
      </c>
      <c r="Z532" s="156"/>
      <c r="AA532" s="156"/>
    </row>
    <row r="533" spans="1:28" s="116" customFormat="1" ht="18" customHeight="1" x14ac:dyDescent="0.25">
      <c r="A533" s="165">
        <f t="shared" si="163"/>
        <v>386</v>
      </c>
      <c r="B533" s="24" t="s">
        <v>518</v>
      </c>
      <c r="C533" s="150" t="s">
        <v>69</v>
      </c>
      <c r="D533" s="97"/>
      <c r="E533" s="98" t="s">
        <v>70</v>
      </c>
      <c r="F533" s="45">
        <v>335.7</v>
      </c>
      <c r="G533" s="136">
        <f t="shared" si="162"/>
        <v>227613.3</v>
      </c>
      <c r="H533" s="99">
        <v>227613.3</v>
      </c>
      <c r="I533" s="99"/>
      <c r="J533" s="35">
        <v>0</v>
      </c>
      <c r="K533" s="35">
        <v>0</v>
      </c>
      <c r="L533" s="35"/>
      <c r="M533" s="35">
        <v>0</v>
      </c>
      <c r="N533" s="35"/>
      <c r="O533" s="35">
        <v>0</v>
      </c>
      <c r="P533" s="35"/>
      <c r="Q533" s="35">
        <v>0</v>
      </c>
      <c r="R533" s="35"/>
      <c r="S533" s="35">
        <v>0</v>
      </c>
      <c r="T533" s="35">
        <v>0</v>
      </c>
      <c r="U533" s="35">
        <v>0</v>
      </c>
      <c r="V533" s="99">
        <v>227613.3</v>
      </c>
      <c r="W533" s="42">
        <v>0</v>
      </c>
      <c r="X533" s="165">
        <v>2014</v>
      </c>
      <c r="Y533" s="165">
        <v>2014</v>
      </c>
      <c r="Z533" s="156"/>
      <c r="AA533" s="156"/>
    </row>
    <row r="534" spans="1:28" s="116" customFormat="1" ht="18" customHeight="1" x14ac:dyDescent="0.25">
      <c r="A534" s="165">
        <f t="shared" si="163"/>
        <v>387</v>
      </c>
      <c r="B534" s="24" t="s">
        <v>519</v>
      </c>
      <c r="C534" s="150">
        <v>1993</v>
      </c>
      <c r="D534" s="97"/>
      <c r="E534" s="98">
        <v>5345.4</v>
      </c>
      <c r="F534" s="45">
        <v>4644.6000000000004</v>
      </c>
      <c r="G534" s="136">
        <f t="shared" si="162"/>
        <v>1459698.7</v>
      </c>
      <c r="H534" s="35">
        <v>0</v>
      </c>
      <c r="I534" s="35"/>
      <c r="J534" s="35">
        <v>0</v>
      </c>
      <c r="K534" s="99">
        <v>1459698.7</v>
      </c>
      <c r="L534" s="35"/>
      <c r="M534" s="35">
        <v>0</v>
      </c>
      <c r="N534" s="35"/>
      <c r="O534" s="35">
        <v>0</v>
      </c>
      <c r="P534" s="35"/>
      <c r="Q534" s="35">
        <v>0</v>
      </c>
      <c r="R534" s="35"/>
      <c r="S534" s="35">
        <v>0</v>
      </c>
      <c r="T534" s="35">
        <v>0</v>
      </c>
      <c r="U534" s="35">
        <v>0</v>
      </c>
      <c r="V534" s="99">
        <v>1459698.7</v>
      </c>
      <c r="W534" s="42">
        <v>0</v>
      </c>
      <c r="X534" s="165">
        <v>2014</v>
      </c>
      <c r="Y534" s="165">
        <v>2014</v>
      </c>
      <c r="Z534" s="156"/>
      <c r="AA534" s="156"/>
    </row>
    <row r="535" spans="1:28" s="116" customFormat="1" ht="18" customHeight="1" x14ac:dyDescent="0.25">
      <c r="A535" s="165">
        <f t="shared" si="163"/>
        <v>388</v>
      </c>
      <c r="B535" s="24" t="s">
        <v>520</v>
      </c>
      <c r="C535" s="150">
        <v>1935</v>
      </c>
      <c r="D535" s="97"/>
      <c r="E535" s="98">
        <v>292</v>
      </c>
      <c r="F535" s="45">
        <v>259.2</v>
      </c>
      <c r="G535" s="136">
        <f t="shared" si="162"/>
        <v>201935</v>
      </c>
      <c r="H535" s="35">
        <v>0</v>
      </c>
      <c r="I535" s="35"/>
      <c r="J535" s="35">
        <v>0</v>
      </c>
      <c r="K535" s="35">
        <v>0</v>
      </c>
      <c r="L535" s="35"/>
      <c r="M535" s="35">
        <v>0</v>
      </c>
      <c r="N535" s="35"/>
      <c r="O535" s="99">
        <v>201935</v>
      </c>
      <c r="P535" s="99"/>
      <c r="Q535" s="35">
        <v>0</v>
      </c>
      <c r="R535" s="35"/>
      <c r="S535" s="35">
        <v>0</v>
      </c>
      <c r="T535" s="35">
        <v>0</v>
      </c>
      <c r="U535" s="35">
        <v>0</v>
      </c>
      <c r="V535" s="99">
        <v>191838.29</v>
      </c>
      <c r="W535" s="42">
        <v>10096.709999999999</v>
      </c>
      <c r="X535" s="165">
        <v>2014</v>
      </c>
      <c r="Y535" s="165">
        <v>2014</v>
      </c>
      <c r="Z535" s="156"/>
      <c r="AA535" s="156"/>
    </row>
    <row r="536" spans="1:28" s="116" customFormat="1" ht="18" customHeight="1" x14ac:dyDescent="0.25">
      <c r="A536" s="165">
        <f t="shared" si="163"/>
        <v>389</v>
      </c>
      <c r="B536" s="24" t="s">
        <v>521</v>
      </c>
      <c r="C536" s="150">
        <v>1978</v>
      </c>
      <c r="D536" s="97"/>
      <c r="E536" s="98">
        <v>727.7</v>
      </c>
      <c r="F536" s="45">
        <v>411.8</v>
      </c>
      <c r="G536" s="136">
        <f t="shared" si="162"/>
        <v>642855</v>
      </c>
      <c r="H536" s="35">
        <v>0</v>
      </c>
      <c r="I536" s="35"/>
      <c r="J536" s="35">
        <v>0</v>
      </c>
      <c r="K536" s="99">
        <v>642855</v>
      </c>
      <c r="L536" s="35"/>
      <c r="M536" s="35">
        <v>0</v>
      </c>
      <c r="N536" s="35"/>
      <c r="O536" s="35">
        <v>0</v>
      </c>
      <c r="P536" s="35"/>
      <c r="Q536" s="35">
        <v>0</v>
      </c>
      <c r="R536" s="35"/>
      <c r="S536" s="35">
        <v>0</v>
      </c>
      <c r="T536" s="35">
        <v>0</v>
      </c>
      <c r="U536" s="35">
        <v>0</v>
      </c>
      <c r="V536" s="99">
        <v>610711.03</v>
      </c>
      <c r="W536" s="42">
        <v>32143.97</v>
      </c>
      <c r="X536" s="165">
        <v>2014</v>
      </c>
      <c r="Y536" s="165">
        <v>2014</v>
      </c>
      <c r="Z536" s="156"/>
      <c r="AA536" s="156"/>
    </row>
    <row r="537" spans="1:28" s="116" customFormat="1" ht="18" customHeight="1" x14ac:dyDescent="0.25">
      <c r="A537" s="165">
        <f t="shared" si="163"/>
        <v>390</v>
      </c>
      <c r="B537" s="24" t="s">
        <v>522</v>
      </c>
      <c r="C537" s="150">
        <v>1964</v>
      </c>
      <c r="D537" s="97"/>
      <c r="E537" s="45">
        <v>965.9</v>
      </c>
      <c r="F537" s="45">
        <v>564.6</v>
      </c>
      <c r="G537" s="136">
        <f t="shared" si="162"/>
        <v>591487</v>
      </c>
      <c r="H537" s="35">
        <v>0</v>
      </c>
      <c r="I537" s="35"/>
      <c r="J537" s="35">
        <v>0</v>
      </c>
      <c r="K537" s="35">
        <v>0</v>
      </c>
      <c r="L537" s="35"/>
      <c r="M537" s="35">
        <v>591487</v>
      </c>
      <c r="N537" s="35"/>
      <c r="O537" s="35">
        <v>0</v>
      </c>
      <c r="P537" s="35"/>
      <c r="Q537" s="35">
        <v>0</v>
      </c>
      <c r="R537" s="35"/>
      <c r="S537" s="35">
        <v>0</v>
      </c>
      <c r="T537" s="35">
        <v>0</v>
      </c>
      <c r="U537" s="35">
        <v>0</v>
      </c>
      <c r="V537" s="99">
        <v>561911.4</v>
      </c>
      <c r="W537" s="42">
        <v>29575.599999999999</v>
      </c>
      <c r="X537" s="165">
        <v>2014</v>
      </c>
      <c r="Y537" s="165">
        <v>2014</v>
      </c>
      <c r="Z537" s="156"/>
      <c r="AA537" s="156"/>
    </row>
    <row r="538" spans="1:28" s="116" customFormat="1" ht="18" customHeight="1" x14ac:dyDescent="0.3">
      <c r="A538" s="165">
        <f t="shared" si="163"/>
        <v>391</v>
      </c>
      <c r="B538" s="24" t="s">
        <v>523</v>
      </c>
      <c r="C538" s="147" t="s">
        <v>24</v>
      </c>
      <c r="D538" s="64"/>
      <c r="E538" s="80">
        <v>3724.2</v>
      </c>
      <c r="F538" s="45">
        <v>2729.1</v>
      </c>
      <c r="G538" s="72">
        <f t="shared" ref="G538" si="164">SUM(H538:S538)</f>
        <v>1281085.8799999999</v>
      </c>
      <c r="H538" s="35">
        <v>0</v>
      </c>
      <c r="I538" s="35"/>
      <c r="J538" s="35">
        <v>0</v>
      </c>
      <c r="K538" s="35">
        <v>1281085.8799999999</v>
      </c>
      <c r="L538" s="35"/>
      <c r="M538" s="35">
        <v>0</v>
      </c>
      <c r="N538" s="35"/>
      <c r="O538" s="35">
        <v>0</v>
      </c>
      <c r="P538" s="35"/>
      <c r="Q538" s="35">
        <v>0</v>
      </c>
      <c r="R538" s="35"/>
      <c r="S538" s="35">
        <v>0</v>
      </c>
      <c r="T538" s="153">
        <f>597500-24344.77</f>
        <v>573155.23</v>
      </c>
      <c r="U538" s="35">
        <v>0</v>
      </c>
      <c r="V538" s="153">
        <f>G538-T538</f>
        <v>707930.64999999991</v>
      </c>
      <c r="W538" s="42">
        <v>0</v>
      </c>
      <c r="X538" s="165">
        <v>2014</v>
      </c>
      <c r="Y538" s="165">
        <v>2015</v>
      </c>
      <c r="Z538" s="156"/>
    </row>
    <row r="539" spans="1:28" s="116" customFormat="1" ht="19.5" customHeight="1" x14ac:dyDescent="0.25">
      <c r="A539" s="183" t="s">
        <v>173</v>
      </c>
      <c r="B539" s="183"/>
      <c r="C539" s="142"/>
      <c r="D539" s="165"/>
      <c r="E539" s="29">
        <f>SUM(E529:E537)</f>
        <v>10042.699999999999</v>
      </c>
      <c r="F539" s="29">
        <f>SUM(F529:F537)</f>
        <v>7545.3000000000011</v>
      </c>
      <c r="G539" s="19">
        <f t="shared" ref="G539:W539" si="165">SUM(G529:G537)</f>
        <v>3747910.49</v>
      </c>
      <c r="H539" s="28">
        <f t="shared" si="165"/>
        <v>452048.3</v>
      </c>
      <c r="I539" s="28"/>
      <c r="J539" s="28">
        <f t="shared" si="165"/>
        <v>0</v>
      </c>
      <c r="K539" s="28">
        <f t="shared" si="165"/>
        <v>2502440.19</v>
      </c>
      <c r="L539" s="28"/>
      <c r="M539" s="28">
        <f t="shared" si="165"/>
        <v>591487</v>
      </c>
      <c r="N539" s="28"/>
      <c r="O539" s="28">
        <f t="shared" si="165"/>
        <v>201935</v>
      </c>
      <c r="P539" s="28"/>
      <c r="Q539" s="28">
        <f t="shared" si="165"/>
        <v>0</v>
      </c>
      <c r="R539" s="28"/>
      <c r="S539" s="28">
        <f t="shared" si="165"/>
        <v>0</v>
      </c>
      <c r="T539" s="28">
        <f t="shared" si="165"/>
        <v>0</v>
      </c>
      <c r="U539" s="28">
        <f t="shared" si="165"/>
        <v>0</v>
      </c>
      <c r="V539" s="28">
        <f t="shared" si="165"/>
        <v>3671779.1700000004</v>
      </c>
      <c r="W539" s="19">
        <f t="shared" si="165"/>
        <v>76131.320000000007</v>
      </c>
      <c r="X539" s="20" t="s">
        <v>368</v>
      </c>
      <c r="Y539" s="20" t="s">
        <v>368</v>
      </c>
    </row>
    <row r="540" spans="1:28" s="116" customFormat="1" ht="19.5" customHeight="1" x14ac:dyDescent="0.25">
      <c r="A540" s="183" t="s">
        <v>171</v>
      </c>
      <c r="B540" s="183"/>
      <c r="C540" s="144"/>
      <c r="D540" s="167"/>
      <c r="E540" s="29">
        <f>E538</f>
        <v>3724.2</v>
      </c>
      <c r="F540" s="29">
        <f>F538</f>
        <v>2729.1</v>
      </c>
      <c r="G540" s="19">
        <f t="shared" ref="G540:W540" si="166">G538</f>
        <v>1281085.8799999999</v>
      </c>
      <c r="H540" s="28">
        <f t="shared" si="166"/>
        <v>0</v>
      </c>
      <c r="I540" s="28"/>
      <c r="J540" s="28">
        <f t="shared" si="166"/>
        <v>0</v>
      </c>
      <c r="K540" s="28">
        <f t="shared" si="166"/>
        <v>1281085.8799999999</v>
      </c>
      <c r="L540" s="28"/>
      <c r="M540" s="28">
        <f t="shared" si="166"/>
        <v>0</v>
      </c>
      <c r="N540" s="28"/>
      <c r="O540" s="28">
        <f t="shared" si="166"/>
        <v>0</v>
      </c>
      <c r="P540" s="28"/>
      <c r="Q540" s="28">
        <f t="shared" si="166"/>
        <v>0</v>
      </c>
      <c r="R540" s="28"/>
      <c r="S540" s="28">
        <f t="shared" si="166"/>
        <v>0</v>
      </c>
      <c r="T540" s="28">
        <f t="shared" si="166"/>
        <v>573155.23</v>
      </c>
      <c r="U540" s="28">
        <f t="shared" si="166"/>
        <v>0</v>
      </c>
      <c r="V540" s="28">
        <f t="shared" si="166"/>
        <v>707930.64999999991</v>
      </c>
      <c r="W540" s="19">
        <f t="shared" si="166"/>
        <v>0</v>
      </c>
      <c r="X540" s="167" t="s">
        <v>368</v>
      </c>
      <c r="Y540" s="167" t="s">
        <v>368</v>
      </c>
    </row>
    <row r="541" spans="1:28" s="116" customFormat="1" ht="19.5" customHeight="1" x14ac:dyDescent="0.25">
      <c r="A541" s="183" t="s">
        <v>172</v>
      </c>
      <c r="B541" s="183"/>
      <c r="C541" s="144"/>
      <c r="D541" s="167"/>
      <c r="E541" s="29">
        <v>0</v>
      </c>
      <c r="F541" s="29">
        <v>0</v>
      </c>
      <c r="G541" s="29">
        <v>0</v>
      </c>
      <c r="H541" s="29">
        <v>0</v>
      </c>
      <c r="I541" s="29">
        <v>0</v>
      </c>
      <c r="J541" s="29">
        <v>0</v>
      </c>
      <c r="K541" s="29">
        <v>0</v>
      </c>
      <c r="L541" s="29">
        <v>0</v>
      </c>
      <c r="M541" s="29">
        <v>0</v>
      </c>
      <c r="N541" s="29">
        <v>0</v>
      </c>
      <c r="O541" s="29">
        <v>0</v>
      </c>
      <c r="P541" s="29">
        <v>0</v>
      </c>
      <c r="Q541" s="29">
        <v>0</v>
      </c>
      <c r="R541" s="29">
        <v>0</v>
      </c>
      <c r="S541" s="29">
        <v>0</v>
      </c>
      <c r="T541" s="29">
        <v>0</v>
      </c>
      <c r="U541" s="29">
        <v>0</v>
      </c>
      <c r="V541" s="29">
        <v>0</v>
      </c>
      <c r="W541" s="29">
        <v>0</v>
      </c>
      <c r="X541" s="20" t="s">
        <v>368</v>
      </c>
      <c r="Y541" s="20" t="s">
        <v>368</v>
      </c>
      <c r="AB541" s="157">
        <f>T541+V541+W541</f>
        <v>0</v>
      </c>
    </row>
    <row r="542" spans="1:28" s="116" customFormat="1" ht="19.5" customHeight="1" x14ac:dyDescent="0.25">
      <c r="A542" s="183" t="s">
        <v>383</v>
      </c>
      <c r="B542" s="183"/>
      <c r="C542" s="144"/>
      <c r="D542" s="167"/>
      <c r="E542" s="29">
        <f t="shared" ref="E542:H543" si="167">E539</f>
        <v>10042.699999999999</v>
      </c>
      <c r="F542" s="29">
        <f t="shared" si="167"/>
        <v>7545.3000000000011</v>
      </c>
      <c r="G542" s="19">
        <f t="shared" si="167"/>
        <v>3747910.49</v>
      </c>
      <c r="H542" s="28">
        <f t="shared" si="167"/>
        <v>452048.3</v>
      </c>
      <c r="I542" s="28"/>
      <c r="J542" s="28">
        <f>J539</f>
        <v>0</v>
      </c>
      <c r="K542" s="28">
        <f>K539</f>
        <v>2502440.19</v>
      </c>
      <c r="L542" s="28"/>
      <c r="M542" s="28">
        <f>M539</f>
        <v>591487</v>
      </c>
      <c r="N542" s="28"/>
      <c r="O542" s="28">
        <f>O539</f>
        <v>201935</v>
      </c>
      <c r="P542" s="28"/>
      <c r="Q542" s="28">
        <f>Q539</f>
        <v>0</v>
      </c>
      <c r="R542" s="28"/>
      <c r="S542" s="28">
        <f t="shared" ref="S542:W543" si="168">S539</f>
        <v>0</v>
      </c>
      <c r="T542" s="28">
        <f t="shared" si="168"/>
        <v>0</v>
      </c>
      <c r="U542" s="28">
        <f t="shared" si="168"/>
        <v>0</v>
      </c>
      <c r="V542" s="28">
        <f t="shared" si="168"/>
        <v>3671779.1700000004</v>
      </c>
      <c r="W542" s="19">
        <f t="shared" si="168"/>
        <v>76131.320000000007</v>
      </c>
      <c r="X542" s="20" t="s">
        <v>368</v>
      </c>
      <c r="Y542" s="20" t="s">
        <v>368</v>
      </c>
    </row>
    <row r="543" spans="1:28" s="116" customFormat="1" ht="19.5" customHeight="1" x14ac:dyDescent="0.25">
      <c r="A543" s="183" t="s">
        <v>295</v>
      </c>
      <c r="B543" s="183"/>
      <c r="C543" s="144"/>
      <c r="D543" s="167"/>
      <c r="E543" s="29">
        <f t="shared" si="167"/>
        <v>3724.2</v>
      </c>
      <c r="F543" s="29">
        <f t="shared" si="167"/>
        <v>2729.1</v>
      </c>
      <c r="G543" s="19">
        <f t="shared" si="167"/>
        <v>1281085.8799999999</v>
      </c>
      <c r="H543" s="28">
        <f t="shared" si="167"/>
        <v>0</v>
      </c>
      <c r="I543" s="28"/>
      <c r="J543" s="28">
        <f>J540</f>
        <v>0</v>
      </c>
      <c r="K543" s="28">
        <f>K540</f>
        <v>1281085.8799999999</v>
      </c>
      <c r="L543" s="28"/>
      <c r="M543" s="28">
        <f>M540</f>
        <v>0</v>
      </c>
      <c r="N543" s="28"/>
      <c r="O543" s="28">
        <f>O540</f>
        <v>0</v>
      </c>
      <c r="P543" s="28"/>
      <c r="Q543" s="28">
        <f>Q540</f>
        <v>0</v>
      </c>
      <c r="R543" s="28"/>
      <c r="S543" s="28">
        <f t="shared" si="168"/>
        <v>0</v>
      </c>
      <c r="T543" s="28">
        <f t="shared" si="168"/>
        <v>573155.23</v>
      </c>
      <c r="U543" s="28">
        <f t="shared" si="168"/>
        <v>0</v>
      </c>
      <c r="V543" s="28">
        <f t="shared" si="168"/>
        <v>707930.64999999991</v>
      </c>
      <c r="W543" s="19">
        <f t="shared" si="168"/>
        <v>0</v>
      </c>
      <c r="X543" s="167" t="s">
        <v>368</v>
      </c>
      <c r="Y543" s="167" t="s">
        <v>368</v>
      </c>
    </row>
    <row r="544" spans="1:28" s="116" customFormat="1" ht="19.5" customHeight="1" x14ac:dyDescent="0.25">
      <c r="A544" s="183" t="s">
        <v>384</v>
      </c>
      <c r="B544" s="183"/>
      <c r="C544" s="144"/>
      <c r="D544" s="167"/>
      <c r="E544" s="29">
        <f t="shared" ref="E544:W544" si="169">E541</f>
        <v>0</v>
      </c>
      <c r="F544" s="29">
        <f t="shared" si="169"/>
        <v>0</v>
      </c>
      <c r="G544" s="19">
        <f t="shared" si="169"/>
        <v>0</v>
      </c>
      <c r="H544" s="28">
        <f t="shared" si="169"/>
        <v>0</v>
      </c>
      <c r="I544" s="28"/>
      <c r="J544" s="28">
        <f t="shared" si="169"/>
        <v>0</v>
      </c>
      <c r="K544" s="28">
        <f t="shared" si="169"/>
        <v>0</v>
      </c>
      <c r="L544" s="28"/>
      <c r="M544" s="28">
        <f t="shared" si="169"/>
        <v>0</v>
      </c>
      <c r="N544" s="28"/>
      <c r="O544" s="28">
        <f t="shared" si="169"/>
        <v>0</v>
      </c>
      <c r="P544" s="28"/>
      <c r="Q544" s="28">
        <f t="shared" si="169"/>
        <v>0</v>
      </c>
      <c r="R544" s="28"/>
      <c r="S544" s="28">
        <f t="shared" si="169"/>
        <v>0</v>
      </c>
      <c r="T544" s="28">
        <f t="shared" si="169"/>
        <v>0</v>
      </c>
      <c r="U544" s="28">
        <f t="shared" si="169"/>
        <v>0</v>
      </c>
      <c r="V544" s="28">
        <f t="shared" si="169"/>
        <v>0</v>
      </c>
      <c r="W544" s="19">
        <f t="shared" si="169"/>
        <v>0</v>
      </c>
      <c r="X544" s="20" t="s">
        <v>368</v>
      </c>
      <c r="Y544" s="20" t="s">
        <v>368</v>
      </c>
      <c r="AA544" s="6"/>
      <c r="AB544" s="157">
        <f>T544+V544+W544</f>
        <v>0</v>
      </c>
    </row>
    <row r="545" spans="1:27" ht="20.25" customHeight="1" x14ac:dyDescent="0.25">
      <c r="A545" s="112"/>
      <c r="B545" s="112"/>
      <c r="C545" s="151"/>
      <c r="D545" s="113"/>
      <c r="E545" s="112"/>
      <c r="F545" s="112"/>
      <c r="G545" s="114"/>
      <c r="H545" s="112"/>
      <c r="I545" s="112"/>
      <c r="J545" s="112"/>
      <c r="K545" s="112"/>
      <c r="L545" s="112"/>
      <c r="M545" s="112"/>
      <c r="N545" s="112"/>
      <c r="O545" s="112"/>
      <c r="P545" s="112"/>
      <c r="Q545" s="112"/>
      <c r="R545" s="112"/>
      <c r="S545" s="112"/>
      <c r="T545" s="112"/>
      <c r="U545" s="112"/>
      <c r="V545" s="112"/>
      <c r="W545" s="115"/>
      <c r="X545" s="112"/>
      <c r="Y545" s="112"/>
    </row>
    <row r="546" spans="1:27" ht="20.100000000000001" customHeight="1" x14ac:dyDescent="0.25">
      <c r="A546" s="190" t="s">
        <v>455</v>
      </c>
      <c r="B546" s="190"/>
      <c r="C546" s="190"/>
      <c r="D546" s="190"/>
      <c r="E546" s="190"/>
      <c r="F546" s="190"/>
      <c r="G546" s="190"/>
      <c r="H546" s="190"/>
      <c r="I546" s="190"/>
      <c r="J546" s="190"/>
      <c r="K546" s="190"/>
      <c r="L546" s="190"/>
      <c r="M546" s="190"/>
      <c r="N546" s="190"/>
      <c r="O546" s="190"/>
      <c r="P546" s="190"/>
      <c r="Q546" s="190"/>
      <c r="R546" s="190"/>
      <c r="S546" s="190"/>
      <c r="T546" s="190"/>
      <c r="U546" s="190"/>
      <c r="V546" s="190"/>
      <c r="W546" s="190"/>
      <c r="X546" s="30"/>
      <c r="Y546" s="30"/>
    </row>
    <row r="547" spans="1:27" ht="19.5" customHeight="1" x14ac:dyDescent="0.25">
      <c r="A547" s="187" t="s">
        <v>526</v>
      </c>
      <c r="B547" s="187"/>
      <c r="C547" s="187"/>
      <c r="D547" s="187"/>
      <c r="E547" s="187"/>
      <c r="F547" s="187"/>
      <c r="G547" s="187"/>
      <c r="H547" s="187"/>
      <c r="I547" s="187"/>
      <c r="J547" s="187"/>
      <c r="K547" s="187"/>
      <c r="L547" s="187"/>
      <c r="M547" s="187"/>
      <c r="N547" s="187"/>
      <c r="O547" s="187"/>
      <c r="P547" s="187"/>
      <c r="Q547" s="187"/>
      <c r="R547" s="187"/>
      <c r="S547" s="187"/>
      <c r="T547" s="187"/>
      <c r="U547" s="187"/>
      <c r="V547" s="187"/>
      <c r="W547" s="187"/>
    </row>
    <row r="548" spans="1:27" ht="20.100000000000001" customHeight="1" x14ac:dyDescent="0.3">
      <c r="A548" s="187" t="s">
        <v>473</v>
      </c>
      <c r="B548" s="187"/>
      <c r="C548" s="187"/>
      <c r="D548" s="187"/>
      <c r="E548" s="187"/>
      <c r="F548" s="187"/>
      <c r="G548" s="187"/>
      <c r="H548" s="187"/>
      <c r="I548" s="187"/>
      <c r="J548" s="187"/>
      <c r="K548" s="187"/>
      <c r="L548" s="187"/>
      <c r="M548" s="187"/>
      <c r="N548" s="187"/>
      <c r="O548" s="187"/>
      <c r="P548" s="187"/>
      <c r="Q548" s="187"/>
      <c r="R548" s="187"/>
      <c r="S548" s="187"/>
      <c r="T548" s="100"/>
      <c r="U548" s="100"/>
      <c r="V548" s="100"/>
      <c r="W548" s="101"/>
    </row>
    <row r="549" spans="1:27" ht="20.100000000000001" customHeight="1" x14ac:dyDescent="0.3">
      <c r="A549" s="188" t="s">
        <v>477</v>
      </c>
      <c r="B549" s="188"/>
      <c r="C549" s="188"/>
      <c r="D549" s="188"/>
      <c r="E549" s="188"/>
      <c r="F549" s="188"/>
      <c r="G549" s="188"/>
      <c r="H549" s="188"/>
      <c r="I549" s="188"/>
      <c r="J549" s="188"/>
      <c r="K549" s="188"/>
      <c r="L549" s="169"/>
      <c r="M549" s="100"/>
      <c r="N549" s="100"/>
      <c r="O549" s="100"/>
      <c r="P549" s="100"/>
      <c r="Q549" s="100"/>
      <c r="R549" s="100"/>
      <c r="S549" s="100"/>
      <c r="T549" s="100"/>
      <c r="U549" s="100"/>
      <c r="V549" s="100"/>
      <c r="W549" s="101"/>
    </row>
    <row r="550" spans="1:27" ht="20.100000000000001" customHeight="1" x14ac:dyDescent="0.25">
      <c r="A550" s="189" t="s">
        <v>479</v>
      </c>
      <c r="B550" s="189"/>
      <c r="C550" s="189"/>
      <c r="D550" s="189"/>
      <c r="E550" s="189"/>
      <c r="F550" s="189"/>
      <c r="G550" s="189"/>
      <c r="H550" s="189"/>
      <c r="I550" s="189"/>
      <c r="J550" s="189"/>
      <c r="K550" s="189"/>
    </row>
    <row r="551" spans="1:27" ht="31.5" customHeight="1" x14ac:dyDescent="0.25">
      <c r="A551" s="189" t="s">
        <v>478</v>
      </c>
      <c r="B551" s="189"/>
      <c r="C551" s="189"/>
      <c r="D551" s="189"/>
      <c r="E551" s="189"/>
      <c r="F551" s="189"/>
      <c r="G551" s="189"/>
      <c r="H551" s="189"/>
      <c r="I551" s="189"/>
      <c r="J551" s="189"/>
      <c r="K551" s="189"/>
      <c r="L551" s="102"/>
      <c r="M551" s="108"/>
      <c r="N551" s="108"/>
      <c r="O551" s="109"/>
      <c r="P551" s="103"/>
      <c r="Q551" s="6"/>
      <c r="R551" s="6"/>
      <c r="S551" s="6"/>
      <c r="T551" s="6"/>
      <c r="U551" s="6"/>
      <c r="V551" s="6"/>
      <c r="W551" s="6"/>
      <c r="X551" s="6"/>
      <c r="Y551" s="6"/>
    </row>
    <row r="552" spans="1:27" ht="20.100000000000001" customHeight="1" x14ac:dyDescent="0.25">
      <c r="A552" s="170"/>
      <c r="B552" s="170"/>
      <c r="C552" s="152"/>
      <c r="D552" s="170"/>
      <c r="E552" s="170"/>
      <c r="F552" s="170"/>
      <c r="G552" s="170"/>
      <c r="H552" s="170"/>
      <c r="I552" s="170"/>
      <c r="J552" s="170"/>
      <c r="K552" s="170"/>
      <c r="L552" s="102"/>
      <c r="M552" s="110"/>
      <c r="N552" s="110"/>
      <c r="O552" s="111"/>
      <c r="P552" s="103"/>
      <c r="Q552" s="6"/>
      <c r="R552" s="6"/>
      <c r="S552" s="6"/>
      <c r="T552" s="6"/>
      <c r="U552" s="6"/>
      <c r="V552" s="6"/>
      <c r="W552" s="6"/>
      <c r="X552" s="6"/>
      <c r="Y552" s="6"/>
      <c r="AA552" s="10"/>
    </row>
    <row r="553" spans="1:27" s="10" customFormat="1" ht="20.100000000000001" hidden="1" customHeight="1" x14ac:dyDescent="0.25">
      <c r="B553" s="12" t="s">
        <v>474</v>
      </c>
      <c r="C553" s="139"/>
      <c r="D553" s="11"/>
      <c r="E553" s="104">
        <f>SUM(E15:E17)</f>
        <v>1296339.1599999999</v>
      </c>
      <c r="F553" s="104">
        <f t="shared" ref="F553:W553" si="170">SUM(F15:F17)</f>
        <v>1112866.5899999999</v>
      </c>
      <c r="G553" s="104">
        <f>SUM(G15:G17)</f>
        <v>963165919.37196016</v>
      </c>
      <c r="H553" s="104">
        <f t="shared" si="170"/>
        <v>297584171.986</v>
      </c>
      <c r="I553" s="104">
        <f t="shared" si="170"/>
        <v>34254.319658930486</v>
      </c>
      <c r="J553" s="104">
        <f t="shared" si="170"/>
        <v>99435394.139999986</v>
      </c>
      <c r="K553" s="104">
        <f t="shared" si="170"/>
        <v>454886463.97399998</v>
      </c>
      <c r="L553" s="104">
        <f t="shared" si="170"/>
        <v>42448.624877807299</v>
      </c>
      <c r="M553" s="104">
        <f t="shared" si="170"/>
        <v>4831840.26</v>
      </c>
      <c r="N553" s="104">
        <f t="shared" si="170"/>
        <v>624.89646107586282</v>
      </c>
      <c r="O553" s="104">
        <f t="shared" si="170"/>
        <v>104802385.94</v>
      </c>
      <c r="P553" s="104">
        <f t="shared" si="170"/>
        <v>13404.755068673605</v>
      </c>
      <c r="Q553" s="104">
        <f t="shared" si="170"/>
        <v>523120.84</v>
      </c>
      <c r="R553" s="104">
        <f t="shared" si="170"/>
        <v>0</v>
      </c>
      <c r="S553" s="104">
        <f t="shared" si="170"/>
        <v>1100000</v>
      </c>
      <c r="T553" s="104">
        <f t="shared" si="170"/>
        <v>38419174.439999998</v>
      </c>
      <c r="U553" s="104">
        <f t="shared" si="170"/>
        <v>0</v>
      </c>
      <c r="V553" s="104">
        <f t="shared" si="170"/>
        <v>247618491.09599999</v>
      </c>
      <c r="W553" s="104">
        <f t="shared" si="170"/>
        <v>677125711.60399997</v>
      </c>
      <c r="X553" s="11"/>
      <c r="Y553" s="11"/>
    </row>
    <row r="554" spans="1:27" s="10" customFormat="1" ht="20.100000000000001" hidden="1" customHeight="1" x14ac:dyDescent="0.25">
      <c r="C554" s="139"/>
      <c r="D554" s="11"/>
      <c r="E554" s="12"/>
      <c r="F554" s="12"/>
      <c r="G554" s="13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3"/>
      <c r="X554" s="11"/>
      <c r="Y554" s="11"/>
    </row>
    <row r="555" spans="1:27" s="10" customFormat="1" ht="20.100000000000001" hidden="1" customHeight="1" x14ac:dyDescent="0.25">
      <c r="B555" s="12" t="s">
        <v>475</v>
      </c>
      <c r="C555" s="139"/>
      <c r="D555" s="11"/>
      <c r="E555" s="104">
        <f>SUM('[2]2014-2016'!D$15:D$17)</f>
        <v>1652416.8600000003</v>
      </c>
      <c r="F555" s="104">
        <f>SUM('[2]2014-2016'!E$15:E$17)</f>
        <v>1405870.1099999999</v>
      </c>
      <c r="G555" s="104">
        <f>SUM('[2]2014-2016'!F$15:F$17)</f>
        <v>1461298427.1100001</v>
      </c>
      <c r="H555" s="104">
        <f>SUM('[2]2014-2016'!G$15:G$17)</f>
        <v>368325702.41999996</v>
      </c>
      <c r="I555" s="104">
        <f>SUM('[2]2014-2016'!H$15:H$17)</f>
        <v>38339.837816193816</v>
      </c>
      <c r="J555" s="104">
        <f>SUM('[2]2014-2016'!I$15:I$17)</f>
        <v>100132249.73</v>
      </c>
      <c r="K555" s="104">
        <f>SUM('[2]2014-2016'!J$15:J$17)</f>
        <v>610175722.22999978</v>
      </c>
      <c r="L555" s="104">
        <f>SUM('[2]2014-2016'!K$15:K$17)</f>
        <v>18959.429802865216</v>
      </c>
      <c r="M555" s="104">
        <f>SUM('[2]2014-2016'!L$15:L$17)</f>
        <v>6306501.0399999991</v>
      </c>
      <c r="N555" s="104">
        <f>SUM('[2]2014-2016'!M$15:M$17)</f>
        <v>376.05645801518477</v>
      </c>
      <c r="O555" s="104">
        <f>SUM('[2]2014-2016'!N$15:N$17)</f>
        <v>367271571.02999997</v>
      </c>
      <c r="P555" s="104">
        <f>SUM('[2]2014-2016'!O$15:O$17)</f>
        <v>16033.505494885558</v>
      </c>
      <c r="Q555" s="104">
        <f>SUM('[2]2014-2016'!P$15:P$17)</f>
        <v>2698277.1899999995</v>
      </c>
      <c r="R555" s="104">
        <f>SUM('[2]2014-2016'!Q$15:Q$17)</f>
        <v>328.85739201298543</v>
      </c>
      <c r="S555" s="104">
        <f>SUM('[2]2014-2016'!R$15:R$17)</f>
        <v>6388403.4700000007</v>
      </c>
      <c r="T555" s="104">
        <f>SUM('[2]2014-2016'!S$15:S$17)</f>
        <v>38665533.310000002</v>
      </c>
      <c r="U555" s="104">
        <f>SUM('[2]2014-2016'!T$15:T$17)</f>
        <v>0</v>
      </c>
      <c r="V555" s="104">
        <f>SUM('[2]2014-2016'!U$15:U$17)</f>
        <v>249560510.39000005</v>
      </c>
      <c r="W555" s="104">
        <f>SUM('[2]2014-2016'!V$15:V$17)</f>
        <v>1173072383.4100003</v>
      </c>
      <c r="X555" s="11"/>
      <c r="Y555" s="11"/>
    </row>
    <row r="556" spans="1:27" s="10" customFormat="1" ht="20.100000000000001" hidden="1" customHeight="1" x14ac:dyDescent="0.25">
      <c r="B556" s="12"/>
      <c r="C556" s="139"/>
      <c r="D556" s="11"/>
      <c r="E556" s="12"/>
      <c r="F556" s="12"/>
      <c r="G556" s="13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3"/>
      <c r="X556" s="11"/>
      <c r="Y556" s="11"/>
    </row>
    <row r="557" spans="1:27" s="10" customFormat="1" ht="20.100000000000001" hidden="1" customHeight="1" x14ac:dyDescent="0.25">
      <c r="B557" s="12" t="s">
        <v>476</v>
      </c>
      <c r="C557" s="139"/>
      <c r="D557" s="11"/>
      <c r="E557" s="104">
        <f>E553-E555</f>
        <v>-356077.70000000042</v>
      </c>
      <c r="F557" s="104">
        <f t="shared" ref="F557:W557" si="171">F553-F555</f>
        <v>-293003.52000000002</v>
      </c>
      <c r="G557" s="104">
        <f t="shared" si="171"/>
        <v>-498132507.73803997</v>
      </c>
      <c r="H557" s="104">
        <f t="shared" si="171"/>
        <v>-70741530.433999956</v>
      </c>
      <c r="I557" s="104">
        <f t="shared" si="171"/>
        <v>-4085.5181572633301</v>
      </c>
      <c r="J557" s="104">
        <f t="shared" si="171"/>
        <v>-696855.59000001848</v>
      </c>
      <c r="K557" s="104">
        <f t="shared" si="171"/>
        <v>-155289258.2559998</v>
      </c>
      <c r="L557" s="104">
        <f t="shared" si="171"/>
        <v>23489.195074942083</v>
      </c>
      <c r="M557" s="104">
        <f t="shared" si="171"/>
        <v>-1474660.7799999993</v>
      </c>
      <c r="N557" s="104">
        <f t="shared" si="171"/>
        <v>248.84000306067804</v>
      </c>
      <c r="O557" s="104">
        <f t="shared" si="171"/>
        <v>-262469185.08999997</v>
      </c>
      <c r="P557" s="104">
        <f t="shared" si="171"/>
        <v>-2628.7504262119528</v>
      </c>
      <c r="Q557" s="104">
        <f t="shared" si="171"/>
        <v>-2175156.3499999996</v>
      </c>
      <c r="R557" s="104">
        <f t="shared" si="171"/>
        <v>-328.85739201298543</v>
      </c>
      <c r="S557" s="104">
        <f t="shared" si="171"/>
        <v>-5288403.4700000007</v>
      </c>
      <c r="T557" s="104">
        <f t="shared" si="171"/>
        <v>-246358.87000000477</v>
      </c>
      <c r="U557" s="104">
        <f t="shared" si="171"/>
        <v>0</v>
      </c>
      <c r="V557" s="104">
        <f t="shared" si="171"/>
        <v>-1942019.2940000594</v>
      </c>
      <c r="W557" s="104">
        <f t="shared" si="171"/>
        <v>-495946671.80600035</v>
      </c>
      <c r="X557" s="11"/>
      <c r="Y557" s="11"/>
      <c r="AA557" s="6"/>
    </row>
    <row r="558" spans="1:27" ht="20.100000000000001" hidden="1" customHeight="1" x14ac:dyDescent="0.25">
      <c r="E558" s="105"/>
      <c r="F558" s="105"/>
      <c r="G558" s="106"/>
      <c r="H558" s="6"/>
      <c r="I558" s="6"/>
      <c r="J558" s="107"/>
      <c r="K558" s="107"/>
      <c r="L558" s="107"/>
      <c r="M558" s="107"/>
      <c r="N558" s="6"/>
      <c r="O558" s="6"/>
      <c r="P558" s="6"/>
      <c r="Q558" s="6"/>
      <c r="R558" s="6"/>
      <c r="S558" s="6"/>
      <c r="T558" s="6"/>
      <c r="U558" s="6"/>
      <c r="V558" s="6"/>
      <c r="W558" s="21"/>
    </row>
    <row r="559" spans="1:27" hidden="1" x14ac:dyDescent="0.25"/>
    <row r="560" spans="1:27" hidden="1" x14ac:dyDescent="0.25"/>
    <row r="561" spans="7:7" hidden="1" x14ac:dyDescent="0.25"/>
    <row r="562" spans="7:7" ht="20.25" hidden="1" customHeight="1" x14ac:dyDescent="0.25">
      <c r="G562" s="9">
        <f>G17-'[3]2014-2016'!$G$17</f>
        <v>-567271904.9089998</v>
      </c>
    </row>
  </sheetData>
  <mergeCells count="170">
    <mergeCell ref="A548:S548"/>
    <mergeCell ref="A549:K549"/>
    <mergeCell ref="A550:K550"/>
    <mergeCell ref="A551:K551"/>
    <mergeCell ref="A523:B523"/>
    <mergeCell ref="A544:B544"/>
    <mergeCell ref="A541:B541"/>
    <mergeCell ref="A542:B542"/>
    <mergeCell ref="A543:B543"/>
    <mergeCell ref="A546:W546"/>
    <mergeCell ref="A547:W547"/>
    <mergeCell ref="A525:B525"/>
    <mergeCell ref="A526:B526"/>
    <mergeCell ref="A527:W527"/>
    <mergeCell ref="A528:W528"/>
    <mergeCell ref="A539:B539"/>
    <mergeCell ref="A540:B540"/>
    <mergeCell ref="A505:B505"/>
    <mergeCell ref="A506:W506"/>
    <mergeCell ref="A521:B521"/>
    <mergeCell ref="A522:B522"/>
    <mergeCell ref="A524:B524"/>
    <mergeCell ref="A491:B491"/>
    <mergeCell ref="A492:B492"/>
    <mergeCell ref="A493:W493"/>
    <mergeCell ref="A494:W494"/>
    <mergeCell ref="A503:B503"/>
    <mergeCell ref="A504:B504"/>
    <mergeCell ref="A484:B484"/>
    <mergeCell ref="A485:W485"/>
    <mergeCell ref="A487:B487"/>
    <mergeCell ref="A488:B488"/>
    <mergeCell ref="A489:B489"/>
    <mergeCell ref="A490:B490"/>
    <mergeCell ref="A472:B472"/>
    <mergeCell ref="A473:B473"/>
    <mergeCell ref="A474:W474"/>
    <mergeCell ref="A475:W475"/>
    <mergeCell ref="A482:B482"/>
    <mergeCell ref="A483:B483"/>
    <mergeCell ref="A464:B464"/>
    <mergeCell ref="A465:W465"/>
    <mergeCell ref="A468:B468"/>
    <mergeCell ref="A469:B469"/>
    <mergeCell ref="A470:B470"/>
    <mergeCell ref="A471:B471"/>
    <mergeCell ref="A454:B454"/>
    <mergeCell ref="A455:B455"/>
    <mergeCell ref="A456:B456"/>
    <mergeCell ref="A457:W457"/>
    <mergeCell ref="A462:B462"/>
    <mergeCell ref="A463:B463"/>
    <mergeCell ref="A438:B438"/>
    <mergeCell ref="A439:W439"/>
    <mergeCell ref="A444:B444"/>
    <mergeCell ref="A445:B445"/>
    <mergeCell ref="A446:B446"/>
    <mergeCell ref="A447:W447"/>
    <mergeCell ref="A431:B431"/>
    <mergeCell ref="A432:B432"/>
    <mergeCell ref="A433:B433"/>
    <mergeCell ref="A434:W434"/>
    <mergeCell ref="A436:B436"/>
    <mergeCell ref="A437:B437"/>
    <mergeCell ref="A412:B412"/>
    <mergeCell ref="A413:W413"/>
    <mergeCell ref="A417:B417"/>
    <mergeCell ref="A418:B418"/>
    <mergeCell ref="A419:B419"/>
    <mergeCell ref="A420:W420"/>
    <mergeCell ref="A405:B405"/>
    <mergeCell ref="A406:B406"/>
    <mergeCell ref="A407:W407"/>
    <mergeCell ref="A408:W408"/>
    <mergeCell ref="A410:B410"/>
    <mergeCell ref="A411:B411"/>
    <mergeCell ref="A370:B370"/>
    <mergeCell ref="A371:W371"/>
    <mergeCell ref="A401:B401"/>
    <mergeCell ref="A402:B402"/>
    <mergeCell ref="A403:B403"/>
    <mergeCell ref="A404:B404"/>
    <mergeCell ref="A359:B359"/>
    <mergeCell ref="A360:B360"/>
    <mergeCell ref="A361:B361"/>
    <mergeCell ref="A362:W362"/>
    <mergeCell ref="A368:B368"/>
    <mergeCell ref="A369:B369"/>
    <mergeCell ref="A350:W350"/>
    <mergeCell ref="A351:W351"/>
    <mergeCell ref="A354:B354"/>
    <mergeCell ref="A355:B355"/>
    <mergeCell ref="A356:B356"/>
    <mergeCell ref="A357:W357"/>
    <mergeCell ref="A301:B301"/>
    <mergeCell ref="A302:B302"/>
    <mergeCell ref="A303:W303"/>
    <mergeCell ref="A347:B347"/>
    <mergeCell ref="A348:B348"/>
    <mergeCell ref="A349:B349"/>
    <mergeCell ref="A291:W291"/>
    <mergeCell ref="A294:B294"/>
    <mergeCell ref="A295:B295"/>
    <mergeCell ref="A296:B296"/>
    <mergeCell ref="A297:W297"/>
    <mergeCell ref="A300:B300"/>
    <mergeCell ref="A283:B283"/>
    <mergeCell ref="A284:B284"/>
    <mergeCell ref="A285:W285"/>
    <mergeCell ref="A288:B288"/>
    <mergeCell ref="A289:B289"/>
    <mergeCell ref="A290:B290"/>
    <mergeCell ref="A214:W214"/>
    <mergeCell ref="A228:B228"/>
    <mergeCell ref="A229:B229"/>
    <mergeCell ref="A230:B230"/>
    <mergeCell ref="A231:W231"/>
    <mergeCell ref="A282:B282"/>
    <mergeCell ref="A202:B202"/>
    <mergeCell ref="A203:B203"/>
    <mergeCell ref="A204:W204"/>
    <mergeCell ref="A211:B211"/>
    <mergeCell ref="A212:B212"/>
    <mergeCell ref="A213:B213"/>
    <mergeCell ref="A68:W68"/>
    <mergeCell ref="A83:B83"/>
    <mergeCell ref="A84:B84"/>
    <mergeCell ref="A85:B85"/>
    <mergeCell ref="A86:W86"/>
    <mergeCell ref="A201:B201"/>
    <mergeCell ref="A45:B45"/>
    <mergeCell ref="A46:B46"/>
    <mergeCell ref="A47:W47"/>
    <mergeCell ref="A65:B65"/>
    <mergeCell ref="A66:B66"/>
    <mergeCell ref="A67:B67"/>
    <mergeCell ref="A18:W18"/>
    <mergeCell ref="A34:B34"/>
    <mergeCell ref="A35:B35"/>
    <mergeCell ref="A36:B36"/>
    <mergeCell ref="A37:W37"/>
    <mergeCell ref="A44:B44"/>
    <mergeCell ref="Q11:Q12"/>
    <mergeCell ref="S11:S12"/>
    <mergeCell ref="T11:W11"/>
    <mergeCell ref="A15:B15"/>
    <mergeCell ref="A16:B16"/>
    <mergeCell ref="A17:B17"/>
    <mergeCell ref="G11:G12"/>
    <mergeCell ref="H11:H12"/>
    <mergeCell ref="J11:J12"/>
    <mergeCell ref="K11:K12"/>
    <mergeCell ref="M11:M12"/>
    <mergeCell ref="O11:O12"/>
    <mergeCell ref="Q1:V1"/>
    <mergeCell ref="Q3:V3"/>
    <mergeCell ref="Q4:W4"/>
    <mergeCell ref="Q5:W5"/>
    <mergeCell ref="A6:Y6"/>
    <mergeCell ref="A8:Y8"/>
    <mergeCell ref="A10:A13"/>
    <mergeCell ref="B10:B13"/>
    <mergeCell ref="C10:C13"/>
    <mergeCell ref="D10:D13"/>
    <mergeCell ref="E10:E12"/>
    <mergeCell ref="F10:F12"/>
    <mergeCell ref="G10:W10"/>
    <mergeCell ref="X10:X13"/>
    <mergeCell ref="Y10:Y13"/>
    <mergeCell ref="Q2:W2"/>
  </mergeCells>
  <printOptions horizontalCentered="1"/>
  <pageMargins left="0.31496062992125984" right="0.31496062992125984" top="0.6692913385826772" bottom="0.31496062992125984" header="0.31496062992125984" footer="0.31496062992125984"/>
  <pageSetup paperSize="9" scale="36" fitToHeight="12" orientation="landscape" horizontalDpi="300" verticalDpi="300" r:id="rId1"/>
  <headerFooter differentFirst="1">
    <oddHeader>&amp;C&amp;16&amp;P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2014-2016</vt:lpstr>
      <vt:lpstr>'2014-2016'!Заголовки_для_печати</vt:lpstr>
      <vt:lpstr>'2014-2016'!Область_печати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Ливерко</cp:lastModifiedBy>
  <cp:lastPrinted>2017-03-13T12:28:35Z</cp:lastPrinted>
  <dcterms:created xsi:type="dcterms:W3CDTF">2014-06-03T05:55:59Z</dcterms:created>
  <dcterms:modified xsi:type="dcterms:W3CDTF">2017-03-15T07:13:54Z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gDocId">
    <vt:lpwstr>{A92129D9-92FE-E611-ABFF-002481ACEEB4}</vt:lpwstr>
  </property>
  <property fmtid="{D5CDD505-2E9C-101B-9397-08002B2CF9AE}" pid="3" name="#RegDocId">
    <vt:lpwstr>Вн. Постановление Правительства № 126-ПП от 14.03.2017</vt:lpwstr>
  </property>
  <property fmtid="{D5CDD505-2E9C-101B-9397-08002B2CF9AE}" pid="4" name="FileDocId">
    <vt:lpwstr>{66DD5BA5-E807-E711-ABFF-002481ACEEB4}</vt:lpwstr>
  </property>
  <property fmtid="{D5CDD505-2E9C-101B-9397-08002B2CF9AE}" pid="5" name="#FileDocId">
    <vt:lpwstr>Файл: Приложение № 1_ 2014-2016_13.03.2017.xlsx</vt:lpwstr>
  </property>
  <property fmtid="{D5CDD505-2E9C-101B-9397-08002B2CF9AE}" pid="6" name="Дайждест">
    <vt:lpwstr>Вн. Постановление Правительства № 85-ПП от 29.02.2016</vt:lpwstr>
  </property>
  <property fmtid="{D5CDD505-2E9C-101B-9397-08002B2CF9AE}" pid="7" name="Содержание">
    <vt:lpwstr>О ВНЕСЕНИИ ИЗМЕНЕНИЙ В ПОСТАНОВЛЕНИЕ ПРАВИТЕЛЬСТВА МУРМАНСКОЙ ОБЛАСТИ ОТ 27.06.2014 № 325-ПП/9</vt:lpwstr>
  </property>
  <property fmtid="{D5CDD505-2E9C-101B-9397-08002B2CF9AE}" pid="8" name="Вид_документа">
    <vt:lpwstr>Постановление Правительства</vt:lpwstr>
  </property>
  <property fmtid="{D5CDD505-2E9C-101B-9397-08002B2CF9AE}" pid="9" name="Отправитель_ФИО">
    <vt:lpwstr>Ковтун М.В.</vt:lpwstr>
  </property>
  <property fmtid="{D5CDD505-2E9C-101B-9397-08002B2CF9AE}" pid="10" name="Отправитель_Фамилия">
    <vt:lpwstr>Ковтун</vt:lpwstr>
  </property>
  <property fmtid="{D5CDD505-2E9C-101B-9397-08002B2CF9AE}" pid="11" name="Отправитель_Имя">
    <vt:lpwstr>Марина</vt:lpwstr>
  </property>
  <property fmtid="{D5CDD505-2E9C-101B-9397-08002B2CF9AE}" pid="12" name="Отправитель_Отчество">
    <vt:lpwstr>Васильевна</vt:lpwstr>
  </property>
  <property fmtid="{D5CDD505-2E9C-101B-9397-08002B2CF9AE}" pid="13" name="Отправитель_Фамилия_род">
    <vt:lpwstr>Ковтун</vt:lpwstr>
  </property>
  <property fmtid="{D5CDD505-2E9C-101B-9397-08002B2CF9AE}" pid="14" name="Отправитель_Фамилия_дат">
    <vt:lpwstr>Ковтун</vt:lpwstr>
  </property>
  <property fmtid="{D5CDD505-2E9C-101B-9397-08002B2CF9AE}" pid="15" name="Отправитель_Инициалы">
    <vt:lpwstr>М.В.</vt:lpwstr>
  </property>
  <property fmtid="{D5CDD505-2E9C-101B-9397-08002B2CF9AE}" pid="16" name="Отправитель_Должность">
    <vt:lpwstr>Губернатор</vt:lpwstr>
  </property>
  <property fmtid="{D5CDD505-2E9C-101B-9397-08002B2CF9AE}" pid="17" name="Отправитель_Должность_род">
    <vt:lpwstr>Губернатор</vt:lpwstr>
  </property>
  <property fmtid="{D5CDD505-2E9C-101B-9397-08002B2CF9AE}" pid="18" name="Отправитель_Должность_дат">
    <vt:lpwstr>Губернатор</vt:lpwstr>
  </property>
  <property fmtid="{D5CDD505-2E9C-101B-9397-08002B2CF9AE}" pid="19" name="Отправитель_Подразделение">
    <vt:lpwstr>Приемная Губернатора</vt:lpwstr>
  </property>
  <property fmtid="{D5CDD505-2E9C-101B-9397-08002B2CF9AE}" pid="20" name="Отправитель_Телефон">
    <vt:lpwstr>486-201</vt:lpwstr>
  </property>
  <property fmtid="{D5CDD505-2E9C-101B-9397-08002B2CF9AE}" pid="21" name="Исполнитель_ФИО">
    <vt:lpwstr>Трушкова В.В.</vt:lpwstr>
  </property>
  <property fmtid="{D5CDD505-2E9C-101B-9397-08002B2CF9AE}" pid="22" name="Исполнитель_Фамилия">
    <vt:lpwstr>Трушкова</vt:lpwstr>
  </property>
  <property fmtid="{D5CDD505-2E9C-101B-9397-08002B2CF9AE}" pid="23" name="Исполнитель_Имя">
    <vt:lpwstr>Вероника</vt:lpwstr>
  </property>
  <property fmtid="{D5CDD505-2E9C-101B-9397-08002B2CF9AE}" pid="24" name="Исполнитель_Отчество">
    <vt:lpwstr>Владимировна</vt:lpwstr>
  </property>
  <property fmtid="{D5CDD505-2E9C-101B-9397-08002B2CF9AE}" pid="25" name="Исполнитель_Фамилия_род">
    <vt:lpwstr>Трушковой</vt:lpwstr>
  </property>
  <property fmtid="{D5CDD505-2E9C-101B-9397-08002B2CF9AE}" pid="26" name="Исполнитель_Фамилия_дат">
    <vt:lpwstr>Трушковой</vt:lpwstr>
  </property>
  <property fmtid="{D5CDD505-2E9C-101B-9397-08002B2CF9AE}" pid="27" name="Исполнитель_Инициалы">
    <vt:lpwstr>В.В.</vt:lpwstr>
  </property>
  <property fmtid="{D5CDD505-2E9C-101B-9397-08002B2CF9AE}" pid="28" name="Исполнитель_Должность">
    <vt:lpwstr>Заместитель руководителя подразделения ИОГВ</vt:lpwstr>
  </property>
  <property fmtid="{D5CDD505-2E9C-101B-9397-08002B2CF9AE}" pid="29" name="Исполнитель_Должность_род">
    <vt:lpwstr>Заместитель руководителя подразделения ИОГВ</vt:lpwstr>
  </property>
  <property fmtid="{D5CDD505-2E9C-101B-9397-08002B2CF9AE}" pid="30" name="Исполнитель_Должность_дат">
    <vt:lpwstr>Заместитель руководителя подразделения ИОГВ</vt:lpwstr>
  </property>
  <property fmtid="{D5CDD505-2E9C-101B-9397-08002B2CF9AE}" pid="31" name="Исполнитель_Подразделение">
    <vt:lpwstr>21-02 Управление формирования и реализации политики в области энергетики и жилищно-коммунального комплекса</vt:lpwstr>
  </property>
  <property fmtid="{D5CDD505-2E9C-101B-9397-08002B2CF9AE}" pid="32" name="Исполнитель_Телефон">
    <vt:lpwstr>486-761</vt:lpwstr>
  </property>
  <property fmtid="{D5CDD505-2E9C-101B-9397-08002B2CF9AE}" pid="33" name="Регистрационный_номер">
    <vt:lpwstr>85-ПП</vt:lpwstr>
  </property>
  <property fmtid="{D5CDD505-2E9C-101B-9397-08002B2CF9AE}" pid="34" name="Дата_регистрации">
    <vt:filetime>2016-08-01T22:04:36Z</vt:filetime>
  </property>
  <property fmtid="{D5CDD505-2E9C-101B-9397-08002B2CF9AE}" pid="35" name="Получатель_ФИО">
    <vt:lpwstr>Гноевский В.Н.</vt:lpwstr>
  </property>
  <property fmtid="{D5CDD505-2E9C-101B-9397-08002B2CF9AE}" pid="36" name="Получатель_Фамилия">
    <vt:lpwstr>Гноевский</vt:lpwstr>
  </property>
  <property fmtid="{D5CDD505-2E9C-101B-9397-08002B2CF9AE}" pid="37" name="Получатель_Имя">
    <vt:lpwstr>Владимир</vt:lpwstr>
  </property>
  <property fmtid="{D5CDD505-2E9C-101B-9397-08002B2CF9AE}" pid="38" name="Получатель_Отчество">
    <vt:lpwstr>Николаевич</vt:lpwstr>
  </property>
  <property fmtid="{D5CDD505-2E9C-101B-9397-08002B2CF9AE}" pid="39" name="Получатель_Фамилия_род">
    <vt:lpwstr>Гноевского</vt:lpwstr>
  </property>
  <property fmtid="{D5CDD505-2E9C-101B-9397-08002B2CF9AE}" pid="40" name="Получатель_Фамилия_дат">
    <vt:lpwstr>Гноевскому</vt:lpwstr>
  </property>
  <property fmtid="{D5CDD505-2E9C-101B-9397-08002B2CF9AE}" pid="41" name="Получатель_Инициалы">
    <vt:lpwstr>В.Н.</vt:lpwstr>
  </property>
  <property fmtid="{D5CDD505-2E9C-101B-9397-08002B2CF9AE}" pid="42" name="Получатель_Должность">
    <vt:lpwstr>Министр</vt:lpwstr>
  </property>
  <property fmtid="{D5CDD505-2E9C-101B-9397-08002B2CF9AE}" pid="43" name="Получатель_Должность_род">
    <vt:lpwstr>Министр</vt:lpwstr>
  </property>
  <property fmtid="{D5CDD505-2E9C-101B-9397-08002B2CF9AE}" pid="44" name="Получатель_Должность_дат">
    <vt:lpwstr>Министр</vt:lpwstr>
  </property>
  <property fmtid="{D5CDD505-2E9C-101B-9397-08002B2CF9AE}" pid="45" name="Получатель_Подразделение">
    <vt:lpwstr>21-01 Руководство Министерства энергетики и жилищно-коммунального хозяйства Мурманской области</vt:lpwstr>
  </property>
  <property fmtid="{D5CDD505-2E9C-101B-9397-08002B2CF9AE}" pid="46" name="Получатель_Телефон">
    <vt:lpwstr>486-733</vt:lpwstr>
  </property>
</Properties>
</file>